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lanilha" sheetId="1" r:id="rId1"/>
    <sheet name="cronograma" sheetId="2" r:id="rId2"/>
    <sheet name="BDI" sheetId="3" r:id="rId3"/>
    <sheet name="Quantitativo" sheetId="4" r:id="rId4"/>
    <sheet name="BDI RS" sheetId="5" r:id="rId5"/>
  </sheets>
  <definedNames>
    <definedName name="_xlnm.Print_Area" localSheetId="4">'BDI RS'!$B$1:$G$49</definedName>
    <definedName name="_xlnm.Print_Area" localSheetId="1">'cronograma'!$A$1:$G$33</definedName>
    <definedName name="_xlnm.Print_Area" localSheetId="0">'Planilha'!$A$1:$H$144</definedName>
    <definedName name="Excel_BuiltIn_Print_Titles_1">'Planilha'!$5:$14</definedName>
    <definedName name="_xlnm.Print_Titles" localSheetId="0">('Planilha'!$A:$H,'Planilha'!$1:$9)</definedName>
  </definedNames>
  <calcPr fullCalcOnLoad="1"/>
</workbook>
</file>

<file path=xl/sharedStrings.xml><?xml version="1.0" encoding="utf-8"?>
<sst xmlns="http://schemas.openxmlformats.org/spreadsheetml/2006/main" count="519" uniqueCount="360">
  <si>
    <t>DEPARTAMENTO DE CONTROLE DO ESPAÇO AÉREO</t>
  </si>
  <si>
    <t>SEGUNDO CENTRO INTEGRADO DE DEFESA AÉREA E CONTROLE DE TRÁFEGO AÉREO</t>
  </si>
  <si>
    <t>DIVISÃO DE ADMINISTRAÇÃO</t>
  </si>
  <si>
    <t>SUBDIVISÃO DE INFRAESTRUTURA – SEÇÃO DE ENGENHARIA</t>
  </si>
  <si>
    <t>PLANILHA ORÇAMENTÁRIA BÁSICA DOS SERVIÇOS DE INFRAESTRUTURA</t>
  </si>
  <si>
    <t>PARA IMPLANTAÇÃO DO RADAR TPS-B34 NO SÍTIO DO 2º/1º GCC</t>
  </si>
  <si>
    <t>Código</t>
  </si>
  <si>
    <t>Código SINAPI</t>
  </si>
  <si>
    <t>SERVIÇO</t>
  </si>
  <si>
    <t>Unid.</t>
  </si>
  <si>
    <t>Quant.</t>
  </si>
  <si>
    <t>Preço unitário (R$)</t>
  </si>
  <si>
    <t>Custo total (R$)</t>
  </si>
  <si>
    <t>SERVIÇOS TÉCNICO-PROFISSIONAIS</t>
  </si>
  <si>
    <t>1.1</t>
  </si>
  <si>
    <t>ESTUDOS E PROJETOS</t>
  </si>
  <si>
    <t>1.1.1</t>
  </si>
  <si>
    <t>Recolhimento de ART para Projeto</t>
  </si>
  <si>
    <t>vb</t>
  </si>
  <si>
    <t>1.1.2</t>
  </si>
  <si>
    <t>Recolhimento de ART para execução</t>
  </si>
  <si>
    <t>1.2</t>
  </si>
  <si>
    <t>SERVIÇOS AUXILIARES E ADMINISTRATIVOS</t>
  </si>
  <si>
    <t>PESSOAL</t>
  </si>
  <si>
    <t>Administração</t>
  </si>
  <si>
    <t>Engenheiro ou  Arquiteto – Responsável Técnico pela execução – incluso 47,71% de encargos sociais desonerados</t>
  </si>
  <si>
    <t>h</t>
  </si>
  <si>
    <t>Mestre de obras – incluso 47,71% de encargos sociais desonerados</t>
  </si>
  <si>
    <t>TRANSPORTES</t>
  </si>
  <si>
    <t>Transporte de Pessoal  - transporte público para 6 funcionários, 2 passagens/dia, 24 dias/mês, com desconto legal de 6% do salário do funcionário.</t>
  </si>
  <si>
    <t>mês</t>
  </si>
  <si>
    <t>Transporte  de contêiner – Guincho tipo Munck CAP 6T, Montado em caminhão carroceria ou equivalente</t>
  </si>
  <si>
    <t>OUTROS</t>
  </si>
  <si>
    <t>Diário de obras</t>
  </si>
  <si>
    <t>*</t>
  </si>
  <si>
    <t>Aluguel de Betoneira 320L, Trifásica 3HP, c/ carregador mecânico</t>
  </si>
  <si>
    <t>Mobilização</t>
  </si>
  <si>
    <t>02.00.000</t>
  </si>
  <si>
    <t>SERVIÇOS PRELIMINARES</t>
  </si>
  <si>
    <t>Projetos</t>
  </si>
  <si>
    <t>Comp. 1</t>
  </si>
  <si>
    <t>Projeto Executivo de Drenagem</t>
  </si>
  <si>
    <t>m²</t>
  </si>
  <si>
    <t>Comp. 2</t>
  </si>
  <si>
    <t>Projeto Executivo de Pavimentação em CBUQ , pav. de concreto e aterro</t>
  </si>
  <si>
    <t>há</t>
  </si>
  <si>
    <t>Ensaios de campos</t>
  </si>
  <si>
    <t>74021/001*</t>
  </si>
  <si>
    <t>Ensaios de terraplenagem - corpo do aterro</t>
  </si>
  <si>
    <t>m³</t>
  </si>
  <si>
    <t>73900/001*</t>
  </si>
  <si>
    <t>Ensaios de imprimação - asfalto diluído</t>
  </si>
  <si>
    <t>73900/012*</t>
  </si>
  <si>
    <t>Ensaios de qualidade no CBUQ</t>
  </si>
  <si>
    <t>Ton</t>
  </si>
  <si>
    <t>74021/002*</t>
  </si>
  <si>
    <t>Ensaios de terraplenagem - camada final de aterro</t>
  </si>
  <si>
    <t>74259*</t>
  </si>
  <si>
    <t>Ensaios de pintura de ligação</t>
  </si>
  <si>
    <t>74022/023*</t>
  </si>
  <si>
    <t>Ensaio de teor de umidade - método speedy</t>
  </si>
  <si>
    <t>un.</t>
  </si>
  <si>
    <t>02.01.100</t>
  </si>
  <si>
    <t>Construções provisórias</t>
  </si>
  <si>
    <t>02.01.101</t>
  </si>
  <si>
    <t>Aluguel container/escrit/wc c/1 vaso/1 lav larg =2,20m compr=6,20m alt=2,50m chapa aco nerv trapez forroc/ eletr/hidro-sanit excl transp/carga/descarga</t>
  </si>
  <si>
    <t>02.01.105</t>
  </si>
  <si>
    <t>Aluguel container/sanit c/4 vasos/2 lavat/1 mic/8 chuv larg=2,20m compr=6,20m alt=2,50m chapa aco nerv trapez forro c/isol termo-acust chassis reforc piso compens naval incl inst elet /hidro-sanit excl transp/carga/descarga</t>
  </si>
  <si>
    <t>74210/001</t>
  </si>
  <si>
    <t>Barracao para deposito em tabuas de madeira, cobertura em fibrocimento 4 mm, incluso piso argamassa traço 1:6 (cimento e areia)</t>
  </si>
  <si>
    <t>Frete para mobilização/desmobilização dos containeres</t>
  </si>
  <si>
    <t>unid.</t>
  </si>
  <si>
    <t>02.01.200</t>
  </si>
  <si>
    <t>Inatalações provisórias</t>
  </si>
  <si>
    <t>02.01.202</t>
  </si>
  <si>
    <t>73960/001</t>
  </si>
  <si>
    <t>Instal/ligacao provisoria eletrica baixa tensao p/cant obra obra,m3-chave 100a carga 3kwh,20cv excl forn medidor</t>
  </si>
  <si>
    <t>Instalação/Ligação Provisória de Água e Esgoto</t>
  </si>
  <si>
    <t>02.01.400</t>
  </si>
  <si>
    <t>Proteção e sinalização</t>
  </si>
  <si>
    <t>02.01.404</t>
  </si>
  <si>
    <t>Instalação de gambiarra para sinalizacao, com 20 m, incluindo lampada, bocal e balde a cada 2 m</t>
  </si>
  <si>
    <t>74209/001</t>
  </si>
  <si>
    <t>Placa de obra em chapa de aco galvanizado</t>
  </si>
  <si>
    <t>74220/001</t>
  </si>
  <si>
    <t>Tapume de chapa de madeira compensada (6mm) - pintura a cal- aproveitamento 2 x</t>
  </si>
  <si>
    <t>02.02.000</t>
  </si>
  <si>
    <t>Demolição</t>
  </si>
  <si>
    <t>02.02.100</t>
  </si>
  <si>
    <t>Demolição Convencional</t>
  </si>
  <si>
    <t>02.02.111</t>
  </si>
  <si>
    <t>Demolição de concreto simples</t>
  </si>
  <si>
    <t>02.02.140</t>
  </si>
  <si>
    <t>73899/002</t>
  </si>
  <si>
    <t>Demolição de alvenaria de tijolos furados s/reaproveitamento</t>
  </si>
  <si>
    <t>02.02.150</t>
  </si>
  <si>
    <t>73801/002</t>
  </si>
  <si>
    <t>Demolição de camada de assentamento/contrapiso com uso de ponteiro, espessura ate 4cm</t>
  </si>
  <si>
    <t>02.02.180</t>
  </si>
  <si>
    <t>5 S 02 990 11**</t>
  </si>
  <si>
    <t>Fresagem contínua do revestimento betuminoso</t>
  </si>
  <si>
    <t>02.02.300</t>
  </si>
  <si>
    <t>Remoções</t>
  </si>
  <si>
    <t>04.05.601</t>
  </si>
  <si>
    <t xml:space="preserve">74010/001 </t>
  </si>
  <si>
    <t xml:space="preserve">Carga e descarga mecânica de solo utilizando caminhão basculante 5,0m3 /11t e pa carregadeira sobre pneus * 105 hp * cap. 1,72m³. </t>
  </si>
  <si>
    <t>ton. X km</t>
  </si>
  <si>
    <t>02.04.000</t>
  </si>
  <si>
    <t>Terraplenagem</t>
  </si>
  <si>
    <t>02.04.200</t>
  </si>
  <si>
    <t>Cortes</t>
  </si>
  <si>
    <t>02.04.201</t>
  </si>
  <si>
    <t>Escavação manual a céu aberto em material de 1a categoria, em profundidade ate 0,50m</t>
  </si>
  <si>
    <t>02.04.300</t>
  </si>
  <si>
    <t>Aterro mecanizado compactado com empréstimo de areia</t>
  </si>
  <si>
    <t>03.00.000</t>
  </si>
  <si>
    <t>FUNDAÇÕES E ESTRUTURAS</t>
  </si>
  <si>
    <t>03.01.000</t>
  </si>
  <si>
    <t>Fundações</t>
  </si>
  <si>
    <t>03.01.321</t>
  </si>
  <si>
    <t>74115/001</t>
  </si>
  <si>
    <t>Execução de lastro em concreto (1:2,5:6), preparo manual</t>
  </si>
  <si>
    <t>03.02.100</t>
  </si>
  <si>
    <t>Concreto Armado</t>
  </si>
  <si>
    <t>03.02.130</t>
  </si>
  <si>
    <t>Concreto usinado fck=25mpa, inclusive lançamento e adensamento</t>
  </si>
  <si>
    <t>03.02.131</t>
  </si>
  <si>
    <t>Forma tabua para concreto em fundação, c/ reaproveitamento 2x.</t>
  </si>
  <si>
    <t>03.02.132</t>
  </si>
  <si>
    <t>74254/002</t>
  </si>
  <si>
    <t>Armação aço ca-50, diam. 6,3 (1/4) à 12,5mm(1/2) -fornecimento/ corte(perda de 10%) / dobra / colocação.</t>
  </si>
  <si>
    <t>kg</t>
  </si>
  <si>
    <t>04.00.000</t>
  </si>
  <si>
    <t>ARQUITETURA E ELEMENTOS DE URBANISMO</t>
  </si>
  <si>
    <t>04.01.200</t>
  </si>
  <si>
    <t>Esquadrias</t>
  </si>
  <si>
    <t>04.01.202</t>
  </si>
  <si>
    <t>74100/001</t>
  </si>
  <si>
    <t>Portão de ferro com vara 1/2", com requadro</t>
  </si>
  <si>
    <t>04.01.544</t>
  </si>
  <si>
    <t>Pintura esmalte brilhante (2 demãos) sobre superfície metálica, inclusive proteção com zarcão (1 demão)</t>
  </si>
  <si>
    <t>04.01.500</t>
  </si>
  <si>
    <t>Revestimentos</t>
  </si>
  <si>
    <t>04.01.514</t>
  </si>
  <si>
    <t>74147/001</t>
  </si>
  <si>
    <t>Piso em bloco sextavado 30x30cm, espessura 8cm, assentado sobre colcha o de areia espessura 6cm</t>
  </si>
  <si>
    <t>04.01.556</t>
  </si>
  <si>
    <t>Caiação int ou ext sobre revestimento liso c/adoção de fixador com duas demãos</t>
  </si>
  <si>
    <t>04.01.519</t>
  </si>
  <si>
    <t>Chapisco traço 1:3 (cimento e areia grossa), espessura 0,5cm, preparo mecanico da argamassa</t>
  </si>
  <si>
    <t>04.01.520</t>
  </si>
  <si>
    <t>Emboco traço 1:2:8, espessura 1,0 cm, preparo manual da argamassa</t>
  </si>
  <si>
    <t>04.01.521</t>
  </si>
  <si>
    <t>Reboco argamassa traço 1:2 (cal e areia fina), espessura 0,5cm, preparo manual da argamassa</t>
  </si>
  <si>
    <t>04.01.550</t>
  </si>
  <si>
    <t>Pintura PVA, três demãos</t>
  </si>
  <si>
    <t>04.05.000</t>
  </si>
  <si>
    <t>Pavimentação</t>
  </si>
  <si>
    <t>04.05.102</t>
  </si>
  <si>
    <t>Fornecimento de equipe de equipe topográfica composta de 1 técnico, 2 auxiliares, 1 teodolito classe 2, 1 nível classe 2, trena, demais acessórios usuais, veículo, inclusive cálculo e desenho executados pela equipe na obra</t>
  </si>
  <si>
    <t>dia</t>
  </si>
  <si>
    <t>Regularização e compactação manual de terreno com soquete</t>
  </si>
  <si>
    <t>04.05.103</t>
  </si>
  <si>
    <t>74223/001</t>
  </si>
  <si>
    <t>Meio-fio (guia) de concreto pré-moldado, dimensões 12x15x30x100cm (fac e superiorxface inferiorxalturaxcomprimento),rejuntado c/argamassa 1:4 cimento:areia, incluindo escavação e reaterro.</t>
  </si>
  <si>
    <t>m</t>
  </si>
  <si>
    <t>72946*</t>
  </si>
  <si>
    <t>Imprimação de base de pavimentação com emulsão cm-30</t>
  </si>
  <si>
    <t>72965*</t>
  </si>
  <si>
    <t>Fabricação e aplicação de concreto betuminoso usinado a quente(cbuq),cap 50/70, inclusive usinagem e transporte</t>
  </si>
  <si>
    <t>ton.</t>
  </si>
  <si>
    <t>72913*</t>
  </si>
  <si>
    <t>Base de solo cimento 4% mistura em pista, compactação 100% Proctor</t>
  </si>
  <si>
    <t>04.05.604</t>
  </si>
  <si>
    <t>73764/006</t>
  </si>
  <si>
    <t>Pavimentação em blocos de concreto sextavado, espessura 10cm, fck 35mpa, assentados sobre colchão de areia.</t>
  </si>
  <si>
    <t>Colchão de areia para pavimentação em paralelepípedo ou blocos de concreto intertravados</t>
  </si>
  <si>
    <t>Sinalização horizontal com tinta retroreflexiva a base de resina acrílica com microesferas de vidro</t>
  </si>
  <si>
    <t>05.00.000</t>
  </si>
  <si>
    <t>INSTALAÇÕES HIDRAULICAS E SANITÁRIAS</t>
  </si>
  <si>
    <t>05.03.000</t>
  </si>
  <si>
    <t>Drenagem de águas pluviais</t>
  </si>
  <si>
    <t>05.03.503</t>
  </si>
  <si>
    <t>73879/003</t>
  </si>
  <si>
    <t>Assentamento de tubo de concreto diâmetro 500 mm, juntas com anel de borracha, montagem com auxílio de equipamentos</t>
  </si>
  <si>
    <t>Tubo de Concreto Armado Classe PA-2 PB, NBR 8290/2007 DN 500 mm para águas pluviais</t>
  </si>
  <si>
    <t>Grelha de ferro fundido para canaleta larg = 40cm, fornecimento e assentamento</t>
  </si>
  <si>
    <t>Canaleta em concreto armado</t>
  </si>
  <si>
    <t>Concreto Usinado estrutural fck = 25 MPa , inclusive lançamento e adensamento</t>
  </si>
  <si>
    <t>Armação aço CA-50, diam. 6,3 (1/4) à 12,5mm(1/2) -fornecimento/ corte(perda de 10%) / dobra / colocação.</t>
  </si>
  <si>
    <t>05.06.000</t>
  </si>
  <si>
    <t>Serviços Diversos</t>
  </si>
  <si>
    <t>05.06.101</t>
  </si>
  <si>
    <t>79517/001</t>
  </si>
  <si>
    <t>Escavação manual em solo- prof. Até  1,50m</t>
  </si>
  <si>
    <t>05.06.201</t>
  </si>
  <si>
    <t>05.06.402</t>
  </si>
  <si>
    <t>74124/001</t>
  </si>
  <si>
    <t>Poço visita ag pluv:conc arm 1x1x1,40m coletor d=40 a 50cm parede e=15cm base conc fck=10mpa revest c/arg cim/areia 1:4 degraus FF incl forn todos materiais</t>
  </si>
  <si>
    <t>05.06.502</t>
  </si>
  <si>
    <t>Caixa tipo boca lobo 30x90x90cm, em alv tij maciço 1 vez, revestida com argamassa 1:4 cimento:areia, sobre base de concreto simples fck=10mpa, com grelha fofo 135kg, incluindo escavação e reaterro.</t>
  </si>
  <si>
    <t>06.00.000</t>
  </si>
  <si>
    <t>INSTALAÇÕES ELÉTRICAS</t>
  </si>
  <si>
    <t>06.06.303</t>
  </si>
  <si>
    <t>74104/001</t>
  </si>
  <si>
    <t>Caixa de inspeção em alvenaria de tijolo maciço 60x60x60cm, revestida internamente com barra lisa (cimento e areia, traço 1:4) e=2,0cm, com tampa pré-moldada de concreto e fundo de concreto 15mpa tipo c - escavação e confecção</t>
  </si>
  <si>
    <t>06.06.300</t>
  </si>
  <si>
    <t>9.00.000</t>
  </si>
  <si>
    <t>SERVIÇOS COMPLEMENTARES</t>
  </si>
  <si>
    <t>9.02.000</t>
  </si>
  <si>
    <t>Limpeza de obra – durante a execução e ao final  (produtividade do ajudante 3h/dia)</t>
  </si>
  <si>
    <t>02.02.330</t>
  </si>
  <si>
    <t>Remoção de entulho em caçamba 5m³</t>
  </si>
  <si>
    <t>73790/001</t>
  </si>
  <si>
    <t>Retirada, limpeza e reassentamento de paralelepípedo sobre colchão de pó de pedra espessura 10cm, rejuntado com betume e pedrisco, considerando aproveitamento do paralelepípedo</t>
  </si>
  <si>
    <t>Subtotal:</t>
  </si>
  <si>
    <t xml:space="preserve">BDI </t>
  </si>
  <si>
    <t>Total</t>
  </si>
  <si>
    <t>FONTES DE CONSULTA (EM ORDEM DE PRIORIDADE):</t>
  </si>
  <si>
    <t>1º) SINAPI – do mês setembro de 2014 (Porto alegre – RS)</t>
  </si>
  <si>
    <t>2º) Revista Construção e Mercado - Editora PINI do mês setembro 2014</t>
  </si>
  <si>
    <t>3º) Comércio local - indicado com asterisco *</t>
  </si>
  <si>
    <t>4°) SICRO II de maio 2014 - indicado com asterisco **</t>
  </si>
  <si>
    <t>CRONOGRAMA FISICO FINANCEIRO</t>
  </si>
  <si>
    <t xml:space="preserve">Código </t>
  </si>
  <si>
    <t>30 dias</t>
  </si>
  <si>
    <t>60 dias</t>
  </si>
  <si>
    <t>90 dias</t>
  </si>
  <si>
    <t>120 DIAS</t>
  </si>
  <si>
    <t>Total do Item</t>
  </si>
  <si>
    <t>TOTAL PARCIAL</t>
  </si>
  <si>
    <t>TOTAL ACUMULADO S/ BDI</t>
  </si>
  <si>
    <t>TOTAL ACUMULADO C/ BDI DE 31,08%</t>
  </si>
  <si>
    <t>CÁLCULO DO BDI</t>
  </si>
  <si>
    <t xml:space="preserve">A empresa licitante deverá apresentar a composição do BDI conforme o abaixo explicitado, </t>
  </si>
  <si>
    <t>não podendo alterar as porcentagens dos tributos</t>
  </si>
  <si>
    <t>Onde:</t>
  </si>
  <si>
    <t>AC - taxa de rateio da administração central;</t>
  </si>
  <si>
    <t>=</t>
  </si>
  <si>
    <t>(Valores em %)</t>
  </si>
  <si>
    <t>DF - taxa das despesas financeiras;</t>
  </si>
  <si>
    <t>R - taxa de risco, seguro e garantia do empreendimento;</t>
  </si>
  <si>
    <t>L - taxa de lucro; e</t>
  </si>
  <si>
    <t>I - taxa de tributos (ver composição na tabela abaixo)</t>
  </si>
  <si>
    <t>BDI =</t>
  </si>
  <si>
    <t xml:space="preserve">Composição da Taxa de Tributos </t>
  </si>
  <si>
    <t>Estes valores não podem ser alterados</t>
  </si>
  <si>
    <t>COFINS</t>
  </si>
  <si>
    <t>ISS</t>
  </si>
  <si>
    <t>PIS</t>
  </si>
  <si>
    <t>CPRB</t>
  </si>
  <si>
    <t>BDI calculado conforme NS-01.</t>
  </si>
  <si>
    <t>O valor utilizado para o BDI está de acordo com o entendimento do TCU do Acórdão 2369/2011-Plenário, com valor de ISS da cidade de CANOAS-RS</t>
  </si>
  <si>
    <t>Memorial de Cálculo</t>
  </si>
  <si>
    <t>Demolição de concreto</t>
  </si>
  <si>
    <t>Calçada</t>
  </si>
  <si>
    <t>Área</t>
  </si>
  <si>
    <t>Altura</t>
  </si>
  <si>
    <t>Meio fio</t>
  </si>
  <si>
    <t>Comprimento</t>
  </si>
  <si>
    <t>Alvenaria</t>
  </si>
  <si>
    <t>comprimento</t>
  </si>
  <si>
    <t>Fresagem de pista</t>
  </si>
  <si>
    <t>Área a ser fresada</t>
  </si>
  <si>
    <t>Espessura 2 cm</t>
  </si>
  <si>
    <t>Corte para compactação de solo-cimento</t>
  </si>
  <si>
    <t>Área externa</t>
  </si>
  <si>
    <t>Rampa</t>
  </si>
  <si>
    <t>Área sobre a rampa</t>
  </si>
  <si>
    <t>Compactação do solo</t>
  </si>
  <si>
    <t>Não é necessário!</t>
  </si>
  <si>
    <t>Aterro compactado</t>
  </si>
  <si>
    <t>Lastro de concreto magro</t>
  </si>
  <si>
    <t>Concreto fck 20 MPA</t>
  </si>
  <si>
    <t>Armadura</t>
  </si>
  <si>
    <t>Forma</t>
  </si>
  <si>
    <t>Impermeabilização</t>
  </si>
  <si>
    <t>Recape asfáltico</t>
  </si>
  <si>
    <t>Área 01 recape</t>
  </si>
  <si>
    <t>Área 02 recape</t>
  </si>
  <si>
    <t>espessura</t>
  </si>
  <si>
    <t>Volume</t>
  </si>
  <si>
    <t>Pavimentação Externa</t>
  </si>
  <si>
    <t>Estacionamento</t>
  </si>
  <si>
    <t>Área pavimentação externa</t>
  </si>
  <si>
    <t>Área pavimentação interna</t>
  </si>
  <si>
    <t xml:space="preserve"> </t>
  </si>
  <si>
    <t>Pintura de ligação</t>
  </si>
  <si>
    <t>Pavimentação intertravada</t>
  </si>
  <si>
    <t>Externo</t>
  </si>
  <si>
    <t>Interno</t>
  </si>
  <si>
    <t>Repintura do asfalto</t>
  </si>
  <si>
    <t>Largura da faixa:</t>
  </si>
  <si>
    <t>Arquitetura</t>
  </si>
  <si>
    <t>Portão:</t>
  </si>
  <si>
    <t>Arremate no muro</t>
  </si>
  <si>
    <t>Pintura nova</t>
  </si>
  <si>
    <t>Caiação de meio-fio</t>
  </si>
  <si>
    <t>Drenagem</t>
  </si>
  <si>
    <t>Comprimento da canaleta</t>
  </si>
  <si>
    <t>Comprimento da tubulação</t>
  </si>
  <si>
    <t>Inclinação do terreno</t>
  </si>
  <si>
    <t>Largura da vala (média)</t>
  </si>
  <si>
    <t>Escavação</t>
  </si>
  <si>
    <t>Abertura de vala:</t>
  </si>
  <si>
    <t>Lastro de concreto</t>
  </si>
  <si>
    <t>Canaleta de concreto armado</t>
  </si>
  <si>
    <t>Espessura das paredes</t>
  </si>
  <si>
    <t>Fundo:</t>
  </si>
  <si>
    <t>Laterais</t>
  </si>
  <si>
    <t>Menor cota</t>
  </si>
  <si>
    <t>Maior cota</t>
  </si>
  <si>
    <t>Volume de concreto</t>
  </si>
  <si>
    <t>Armadura de concreto</t>
  </si>
  <si>
    <t>Descrição da armadura: Cavalete de aço com diâmetro de 6.3mm CA60, com 4 "abas laterais" e duas barras de aço corridas.</t>
  </si>
  <si>
    <t>Comprimento total</t>
  </si>
  <si>
    <t>Peso da armadura</t>
  </si>
  <si>
    <t>Fôrmas</t>
  </si>
  <si>
    <t>SUBDEPARTAMENTO TÉCNICO</t>
  </si>
  <si>
    <t>DIVISÃO DE COORDENAÇÃO TÉCNICA</t>
  </si>
  <si>
    <t>Intervalo de admissibilidade</t>
  </si>
  <si>
    <t>Item Componente do BDI (%)</t>
  </si>
  <si>
    <t>Mínimo</t>
  </si>
  <si>
    <t>Médio</t>
  </si>
  <si>
    <t>Máximo</t>
  </si>
  <si>
    <t>Valores Propostos</t>
  </si>
  <si>
    <t>AC</t>
  </si>
  <si>
    <t>Adm Central</t>
  </si>
  <si>
    <t>S</t>
  </si>
  <si>
    <t>Seguro</t>
  </si>
  <si>
    <t>R</t>
  </si>
  <si>
    <t>Riscos</t>
  </si>
  <si>
    <t>G</t>
  </si>
  <si>
    <t>Garantia</t>
  </si>
  <si>
    <t>DF</t>
  </si>
  <si>
    <t>Despesas Financeiras</t>
  </si>
  <si>
    <t>L</t>
  </si>
  <si>
    <t>Lucro</t>
  </si>
  <si>
    <t>I</t>
  </si>
  <si>
    <t>Tributos</t>
  </si>
  <si>
    <t>BDI % =</t>
  </si>
  <si>
    <t>OBS: Esta planilha foi elaborada conforme equação para cálculo do percentual do BDI recomendada pelo relatório do acórdão TCU - 2369/2011, conforme abaixo ilustrado.</t>
  </si>
  <si>
    <t>CIDADE</t>
  </si>
  <si>
    <t>ISS (%)</t>
  </si>
  <si>
    <t>CANOAS-RS</t>
  </si>
  <si>
    <t>PARA OBRAS DE ENGENHARIA</t>
  </si>
  <si>
    <r>
      <t>* Os tributos ( I ) aplicáveis são PIS (0,65%), COFINS (3%) e ISS (variável, conforme município de 2 a 5% e, em alguns casos, isento). ISS de CANOAS</t>
    </r>
    <r>
      <rPr>
        <b/>
        <sz val="10"/>
        <rFont val="Arial"/>
        <family val="2"/>
      </rPr>
      <t xml:space="preserve"> – RS de 2,25%</t>
    </r>
    <r>
      <rPr>
        <sz val="10"/>
        <rFont val="Arial"/>
        <family val="2"/>
      </rPr>
      <t xml:space="preserve">, considerado sobre </t>
    </r>
    <r>
      <rPr>
        <b/>
        <sz val="10"/>
        <rFont val="Arial"/>
        <family val="2"/>
      </rPr>
      <t>30%</t>
    </r>
    <r>
      <rPr>
        <sz val="10"/>
        <rFont val="Arial"/>
        <family val="2"/>
      </rPr>
      <t xml:space="preserve"> do Preço de Venda.</t>
    </r>
  </si>
  <si>
    <t>SANTA MARIA-RS</t>
  </si>
  <si>
    <t>FLORIANÓPOLIS-SC</t>
  </si>
  <si>
    <t>%</t>
  </si>
  <si>
    <t>% DE MÃO DE OBRA</t>
  </si>
  <si>
    <t>Canoas, 04 de setembro de 2014</t>
  </si>
  <si>
    <t>Local/Data</t>
  </si>
  <si>
    <t>Eng.º Civil Responsável</t>
  </si>
  <si>
    <t>Nome:</t>
  </si>
  <si>
    <t>Daniel Lemos Mouço</t>
  </si>
  <si>
    <t>CREA:</t>
  </si>
  <si>
    <t>2007146337/D-RJ</t>
  </si>
  <si>
    <t>Jorge Luiz S. Mariano - 2º Tenente QOCON CIV</t>
  </si>
  <si>
    <t>75011/D-PR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</si>
</sst>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&quot;R$ &quot;* #,##0.00_-;&quot;-R$ &quot;* #,##0.00_-;_-&quot;R$ &quot;* \-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11" xfId="50" applyNumberFormat="1" applyFill="1" applyBorder="1" applyAlignment="1" applyProtection="1">
      <alignment/>
      <protection/>
    </xf>
    <xf numFmtId="0" fontId="0" fillId="16" borderId="11" xfId="0" applyFont="1" applyFill="1" applyBorder="1" applyAlignment="1">
      <alignment/>
    </xf>
    <xf numFmtId="0" fontId="0" fillId="16" borderId="11" xfId="0" applyFill="1" applyBorder="1" applyAlignment="1">
      <alignment/>
    </xf>
    <xf numFmtId="4" fontId="0" fillId="16" borderId="11" xfId="0" applyNumberFormat="1" applyFill="1" applyBorder="1" applyAlignment="1">
      <alignment/>
    </xf>
    <xf numFmtId="0" fontId="0" fillId="17" borderId="11" xfId="0" applyFont="1" applyFill="1" applyBorder="1" applyAlignment="1">
      <alignment/>
    </xf>
    <xf numFmtId="2" fontId="18" fillId="0" borderId="0" xfId="0" applyNumberFormat="1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5" fontId="0" fillId="0" borderId="11" xfId="45" applyFont="1" applyFill="1" applyBorder="1" applyAlignment="1" applyProtection="1">
      <alignment horizontal="center"/>
      <protection/>
    </xf>
    <xf numFmtId="9" fontId="0" fillId="0" borderId="15" xfId="5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9" fontId="0" fillId="0" borderId="11" xfId="50" applyFont="1" applyFill="1" applyBorder="1" applyAlignment="1" applyProtection="1">
      <alignment horizontal="center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/>
    </xf>
    <xf numFmtId="165" fontId="0" fillId="0" borderId="11" xfId="45" applyFont="1" applyFill="1" applyBorder="1" applyAlignment="1" applyProtection="1">
      <alignment/>
      <protection/>
    </xf>
    <xf numFmtId="165" fontId="0" fillId="0" borderId="16" xfId="45" applyFont="1" applyFill="1" applyBorder="1" applyAlignment="1" applyProtection="1">
      <alignment/>
      <protection/>
    </xf>
    <xf numFmtId="165" fontId="0" fillId="0" borderId="17" xfId="45" applyFont="1" applyFill="1" applyBorder="1" applyAlignment="1" applyProtection="1">
      <alignment/>
      <protection/>
    </xf>
    <xf numFmtId="0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vertical="center" wrapText="1"/>
    </xf>
    <xf numFmtId="2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26" fillId="0" borderId="18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6" fillId="0" borderId="19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vertical="center" wrapText="1"/>
    </xf>
    <xf numFmtId="2" fontId="26" fillId="0" borderId="22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vertical="center" wrapText="1"/>
    </xf>
    <xf numFmtId="0" fontId="26" fillId="0" borderId="24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8" fillId="24" borderId="25" xfId="0" applyNumberFormat="1" applyFont="1" applyFill="1" applyBorder="1" applyAlignment="1">
      <alignment horizontal="center" vertical="center" wrapText="1"/>
    </xf>
    <xf numFmtId="2" fontId="29" fillId="24" borderId="2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right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0" fillId="25" borderId="0" xfId="48" applyFill="1" applyBorder="1">
      <alignment/>
      <protection/>
    </xf>
    <xf numFmtId="0" fontId="0" fillId="25" borderId="0" xfId="48" applyFill="1" applyBorder="1" applyAlignment="1">
      <alignment horizontal="center"/>
      <protection/>
    </xf>
    <xf numFmtId="0" fontId="0" fillId="25" borderId="0" xfId="48" applyFill="1">
      <alignment/>
      <protection/>
    </xf>
    <xf numFmtId="0" fontId="0" fillId="0" borderId="0" xfId="48">
      <alignment/>
      <protection/>
    </xf>
    <xf numFmtId="0" fontId="0" fillId="25" borderId="27" xfId="48" applyFill="1" applyBorder="1">
      <alignment/>
      <protection/>
    </xf>
    <xf numFmtId="0" fontId="0" fillId="25" borderId="0" xfId="48" applyFill="1" applyAlignment="1">
      <alignment horizontal="center"/>
      <protection/>
    </xf>
    <xf numFmtId="0" fontId="31" fillId="22" borderId="28" xfId="48" applyFont="1" applyFill="1" applyBorder="1" applyAlignment="1">
      <alignment horizontal="center" vertical="center" wrapText="1"/>
      <protection/>
    </xf>
    <xf numFmtId="0" fontId="31" fillId="22" borderId="29" xfId="48" applyFont="1" applyFill="1" applyBorder="1" applyAlignment="1">
      <alignment horizontal="center" vertical="center" wrapText="1"/>
      <protection/>
    </xf>
    <xf numFmtId="0" fontId="31" fillId="22" borderId="30" xfId="48" applyFont="1" applyFill="1" applyBorder="1" applyAlignment="1">
      <alignment horizontal="center" vertical="center" wrapText="1"/>
      <protection/>
    </xf>
    <xf numFmtId="0" fontId="0" fillId="0" borderId="0" xfId="48" applyAlignment="1">
      <alignment vertical="center" wrapText="1"/>
      <protection/>
    </xf>
    <xf numFmtId="0" fontId="0" fillId="0" borderId="31" xfId="48" applyFont="1" applyBorder="1" applyAlignment="1">
      <alignment horizontal="center"/>
      <protection/>
    </xf>
    <xf numFmtId="0" fontId="0" fillId="0" borderId="32" xfId="0" applyFont="1" applyBorder="1" applyAlignment="1">
      <alignment/>
    </xf>
    <xf numFmtId="2" fontId="32" fillId="0" borderId="33" xfId="48" applyNumberFormat="1" applyFont="1" applyFill="1" applyBorder="1" applyAlignment="1" applyProtection="1">
      <alignment horizontal="center"/>
      <protection locked="0"/>
    </xf>
    <xf numFmtId="2" fontId="32" fillId="0" borderId="34" xfId="48" applyNumberFormat="1" applyFont="1" applyFill="1" applyBorder="1" applyAlignment="1" applyProtection="1">
      <alignment horizontal="center"/>
      <protection locked="0"/>
    </xf>
    <xf numFmtId="0" fontId="0" fillId="0" borderId="35" xfId="48" applyFont="1" applyBorder="1" applyAlignment="1">
      <alignment horizontal="center"/>
      <protection/>
    </xf>
    <xf numFmtId="2" fontId="32" fillId="0" borderId="10" xfId="48" applyNumberFormat="1" applyFont="1" applyFill="1" applyBorder="1" applyAlignment="1" applyProtection="1">
      <alignment horizontal="center"/>
      <protection locked="0"/>
    </xf>
    <xf numFmtId="2" fontId="32" fillId="0" borderId="36" xfId="48" applyNumberFormat="1" applyFont="1" applyFill="1" applyBorder="1" applyAlignment="1" applyProtection="1">
      <alignment horizontal="center"/>
      <protection locked="0"/>
    </xf>
    <xf numFmtId="2" fontId="32" fillId="25" borderId="36" xfId="48" applyNumberFormat="1" applyFont="1" applyFill="1" applyBorder="1" applyAlignment="1" applyProtection="1">
      <alignment horizontal="center"/>
      <protection locked="0"/>
    </xf>
    <xf numFmtId="0" fontId="0" fillId="0" borderId="37" xfId="48" applyFont="1" applyBorder="1" applyAlignment="1">
      <alignment horizontal="center"/>
      <protection/>
    </xf>
    <xf numFmtId="0" fontId="0" fillId="0" borderId="38" xfId="0" applyFont="1" applyBorder="1" applyAlignment="1">
      <alignment/>
    </xf>
    <xf numFmtId="2" fontId="32" fillId="0" borderId="38" xfId="48" applyNumberFormat="1" applyFont="1" applyFill="1" applyBorder="1" applyAlignment="1" applyProtection="1">
      <alignment horizontal="center"/>
      <protection locked="0"/>
    </xf>
    <xf numFmtId="2" fontId="32" fillId="0" borderId="39" xfId="48" applyNumberFormat="1" applyFont="1" applyFill="1" applyBorder="1" applyAlignment="1">
      <alignment horizontal="center"/>
      <protection/>
    </xf>
    <xf numFmtId="0" fontId="31" fillId="0" borderId="40" xfId="48" applyFont="1" applyBorder="1">
      <alignment/>
      <protection/>
    </xf>
    <xf numFmtId="2" fontId="31" fillId="2" borderId="41" xfId="48" applyNumberFormat="1" applyFont="1" applyFill="1" applyBorder="1">
      <alignment/>
      <protection/>
    </xf>
    <xf numFmtId="0" fontId="22" fillId="0" borderId="0" xfId="48" applyFont="1">
      <alignment/>
      <protection/>
    </xf>
    <xf numFmtId="0" fontId="0" fillId="0" borderId="0" xfId="48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2" fontId="0" fillId="0" borderId="11" xfId="48" applyNumberFormat="1" applyFont="1" applyBorder="1" applyAlignment="1">
      <alignment horizontal="center"/>
      <protection/>
    </xf>
    <xf numFmtId="4" fontId="0" fillId="25" borderId="0" xfId="48" applyNumberFormat="1" applyFill="1" applyBorder="1">
      <alignment/>
      <protection/>
    </xf>
    <xf numFmtId="4" fontId="21" fillId="25" borderId="0" xfId="48" applyNumberFormat="1" applyFont="1" applyFill="1" applyBorder="1">
      <alignment/>
      <protection/>
    </xf>
    <xf numFmtId="0" fontId="31" fillId="22" borderId="42" xfId="48" applyFont="1" applyFill="1" applyBorder="1">
      <alignment/>
      <protection/>
    </xf>
    <xf numFmtId="4" fontId="31" fillId="22" borderId="43" xfId="48" applyNumberFormat="1" applyFont="1" applyFill="1" applyBorder="1" applyAlignment="1">
      <alignment horizontal="center"/>
      <protection/>
    </xf>
    <xf numFmtId="4" fontId="31" fillId="25" borderId="0" xfId="48" applyNumberFormat="1" applyFont="1" applyFill="1" applyBorder="1">
      <alignment/>
      <protection/>
    </xf>
    <xf numFmtId="0" fontId="32" fillId="22" borderId="44" xfId="48" applyFont="1" applyFill="1" applyBorder="1">
      <alignment/>
      <protection/>
    </xf>
    <xf numFmtId="4" fontId="32" fillId="2" borderId="45" xfId="48" applyNumberFormat="1" applyFont="1" applyFill="1" applyBorder="1" applyAlignment="1">
      <alignment horizontal="center"/>
      <protection/>
    </xf>
    <xf numFmtId="0" fontId="0" fillId="0" borderId="46" xfId="48" applyFont="1" applyBorder="1" applyAlignment="1">
      <alignment horizontal="center"/>
      <protection/>
    </xf>
    <xf numFmtId="0" fontId="32" fillId="22" borderId="47" xfId="48" applyFont="1" applyFill="1" applyBorder="1">
      <alignment/>
      <protection/>
    </xf>
    <xf numFmtId="4" fontId="32" fillId="2" borderId="48" xfId="48" applyNumberFormat="1" applyFont="1" applyFill="1" applyBorder="1" applyAlignment="1">
      <alignment horizontal="center"/>
      <protection/>
    </xf>
    <xf numFmtId="10" fontId="0" fillId="0" borderId="15" xfId="48" applyNumberFormat="1" applyBorder="1" applyAlignment="1">
      <alignment horizontal="center"/>
      <protection/>
    </xf>
    <xf numFmtId="0" fontId="21" fillId="0" borderId="0" xfId="48" applyFont="1">
      <alignment/>
      <protection/>
    </xf>
    <xf numFmtId="0" fontId="31" fillId="22" borderId="49" xfId="48" applyFont="1" applyFill="1" applyBorder="1">
      <alignment/>
      <protection/>
    </xf>
    <xf numFmtId="4" fontId="32" fillId="2" borderId="50" xfId="48" applyNumberFormat="1" applyFont="1" applyFill="1" applyBorder="1" applyAlignment="1">
      <alignment horizontal="center"/>
      <protection/>
    </xf>
    <xf numFmtId="0" fontId="0" fillId="25" borderId="0" xfId="48" applyFill="1" applyProtection="1">
      <alignment/>
      <protection/>
    </xf>
    <xf numFmtId="0" fontId="0" fillId="25" borderId="0" xfId="48" applyFont="1" applyFill="1" applyBorder="1" applyAlignment="1" applyProtection="1">
      <alignment horizontal="left" vertical="center"/>
      <protection/>
    </xf>
    <xf numFmtId="0" fontId="0" fillId="25" borderId="0" xfId="48" applyFill="1" applyBorder="1" applyAlignment="1" applyProtection="1">
      <alignment vertical="center"/>
      <protection/>
    </xf>
    <xf numFmtId="14" fontId="0" fillId="25" borderId="0" xfId="48" applyNumberFormat="1" applyFill="1" applyBorder="1" applyAlignment="1" applyProtection="1">
      <alignment vertical="center"/>
      <protection/>
    </xf>
    <xf numFmtId="0" fontId="0" fillId="25" borderId="0" xfId="48" applyFill="1" applyAlignment="1" applyProtection="1">
      <alignment vertical="center"/>
      <protection/>
    </xf>
    <xf numFmtId="0" fontId="34" fillId="25" borderId="0" xfId="48" applyFont="1" applyFill="1" applyBorder="1" applyAlignment="1" applyProtection="1">
      <alignment vertical="center"/>
      <protection/>
    </xf>
    <xf numFmtId="49" fontId="0" fillId="25" borderId="0" xfId="48" applyNumberFormat="1" applyFill="1" applyAlignment="1" applyProtection="1">
      <alignment vertical="center"/>
      <protection/>
    </xf>
    <xf numFmtId="0" fontId="0" fillId="25" borderId="24" xfId="48" applyFont="1" applyFill="1" applyBorder="1" applyAlignment="1" applyProtection="1">
      <alignment horizontal="left" vertical="center"/>
      <protection/>
    </xf>
    <xf numFmtId="0" fontId="35" fillId="25" borderId="0" xfId="48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5" fontId="0" fillId="0" borderId="52" xfId="45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165" fontId="0" fillId="0" borderId="52" xfId="45" applyFont="1" applyFill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31" fillId="22" borderId="54" xfId="48" applyFont="1" applyFill="1" applyBorder="1" applyAlignment="1">
      <alignment horizontal="center"/>
      <protection/>
    </xf>
    <xf numFmtId="0" fontId="31" fillId="22" borderId="55" xfId="48" applyFont="1" applyFill="1" applyBorder="1" applyAlignment="1">
      <alignment horizontal="center" vertical="center" wrapText="1"/>
      <protection/>
    </xf>
    <xf numFmtId="0" fontId="33" fillId="25" borderId="0" xfId="48" applyFont="1" applyFill="1" applyBorder="1" applyAlignment="1">
      <alignment horizontal="left" wrapText="1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25" borderId="0" xfId="48" applyFont="1" applyFill="1" applyBorder="1" applyAlignment="1">
      <alignment horizontal="justify" vertical="center" wrapText="1"/>
      <protection/>
    </xf>
    <xf numFmtId="49" fontId="0" fillId="0" borderId="24" xfId="48" applyNumberFormat="1" applyFont="1" applyFill="1" applyBorder="1" applyAlignment="1" applyProtection="1">
      <alignment horizontal="left"/>
      <protection locked="0"/>
    </xf>
    <xf numFmtId="0" fontId="34" fillId="25" borderId="19" xfId="48" applyFont="1" applyFill="1" applyBorder="1" applyAlignment="1" applyProtection="1">
      <alignment horizontal="left" vertical="center"/>
      <protection/>
    </xf>
    <xf numFmtId="49" fontId="21" fillId="25" borderId="0" xfId="48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dxfs count="2">
    <dxf>
      <font>
        <b val="0"/>
        <sz val="11"/>
        <color rgb="FFFFFF99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657225</xdr:colOff>
      <xdr:row>5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6286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723900</xdr:colOff>
      <xdr:row>5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6286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723900</xdr:colOff>
      <xdr:row>5</xdr:row>
      <xdr:rowOff>76200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286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11</xdr:row>
      <xdr:rowOff>200025</xdr:rowOff>
    </xdr:from>
    <xdr:to>
      <xdr:col>5</xdr:col>
      <xdr:colOff>723900</xdr:colOff>
      <xdr:row>19</xdr:row>
      <xdr:rowOff>190500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171700"/>
          <a:ext cx="629602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19050</xdr:rowOff>
    </xdr:from>
    <xdr:to>
      <xdr:col>2</xdr:col>
      <xdr:colOff>28575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"/>
          <a:ext cx="7620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view="pageBreakPreview" zoomScale="75" zoomScaleSheetLayoutView="75" workbookViewId="0" topLeftCell="A97">
      <selection activeCell="F148" sqref="F148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14.140625" style="1" customWidth="1"/>
    <col min="4" max="4" width="83.7109375" style="0" customWidth="1"/>
    <col min="5" max="5" width="8.28125" style="1" customWidth="1"/>
    <col min="6" max="6" width="10.00390625" style="0" customWidth="1"/>
    <col min="7" max="7" width="10.140625" style="0" customWidth="1"/>
    <col min="8" max="8" width="12.140625" style="0" customWidth="1"/>
    <col min="9" max="9" width="11.28125" style="0" customWidth="1"/>
    <col min="10" max="10" width="26.140625" style="2" customWidth="1"/>
  </cols>
  <sheetData>
    <row r="2" ht="14.25">
      <c r="C2" s="3" t="s">
        <v>0</v>
      </c>
    </row>
    <row r="3" ht="14.25">
      <c r="C3" s="4" t="s">
        <v>1</v>
      </c>
    </row>
    <row r="4" ht="14.25">
      <c r="C4" s="4" t="s">
        <v>2</v>
      </c>
    </row>
    <row r="5" ht="14.25">
      <c r="C5" s="3" t="s">
        <v>3</v>
      </c>
    </row>
    <row r="7" spans="1:9" ht="15">
      <c r="A7" s="156" t="s">
        <v>4</v>
      </c>
      <c r="B7" s="156"/>
      <c r="C7" s="156"/>
      <c r="D7" s="156"/>
      <c r="E7" s="156"/>
      <c r="F7" s="156"/>
      <c r="G7" s="156"/>
      <c r="H7" s="156"/>
      <c r="I7" s="5"/>
    </row>
    <row r="8" spans="1:9" ht="15">
      <c r="A8" s="156" t="s">
        <v>5</v>
      </c>
      <c r="B8" s="156"/>
      <c r="C8" s="156"/>
      <c r="D8" s="156"/>
      <c r="E8" s="156"/>
      <c r="F8" s="156"/>
      <c r="G8" s="156"/>
      <c r="H8" s="156"/>
      <c r="I8" s="5"/>
    </row>
    <row r="10" spans="2:8" ht="38.25"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</row>
    <row r="11" spans="2:8" ht="15">
      <c r="B11" s="7">
        <v>1</v>
      </c>
      <c r="C11" s="6"/>
      <c r="D11" s="8" t="s">
        <v>13</v>
      </c>
      <c r="E11" s="6"/>
      <c r="F11" s="6"/>
      <c r="G11" s="6"/>
      <c r="H11" s="6"/>
    </row>
    <row r="12" spans="2:8" ht="12.75">
      <c r="B12" s="6" t="s">
        <v>14</v>
      </c>
      <c r="C12" s="6"/>
      <c r="D12" s="9" t="s">
        <v>15</v>
      </c>
      <c r="E12" s="6"/>
      <c r="F12" s="6"/>
      <c r="G12" s="6"/>
      <c r="H12" s="6"/>
    </row>
    <row r="13" spans="2:8" ht="12.75">
      <c r="B13" s="6" t="s">
        <v>16</v>
      </c>
      <c r="C13" s="6"/>
      <c r="D13" s="10" t="s">
        <v>17</v>
      </c>
      <c r="E13" s="11" t="s">
        <v>18</v>
      </c>
      <c r="F13" s="11">
        <v>2</v>
      </c>
      <c r="G13" s="11">
        <v>63.64</v>
      </c>
      <c r="H13" s="12">
        <f>F13*G13</f>
        <v>127.28</v>
      </c>
    </row>
    <row r="14" spans="2:8" ht="12.75">
      <c r="B14" s="6" t="s">
        <v>19</v>
      </c>
      <c r="C14" s="6"/>
      <c r="D14" s="10" t="s">
        <v>20</v>
      </c>
      <c r="E14" s="11" t="s">
        <v>18</v>
      </c>
      <c r="F14" s="11">
        <v>1</v>
      </c>
      <c r="G14" s="11">
        <v>167.68</v>
      </c>
      <c r="H14" s="12">
        <f>F14*G14</f>
        <v>167.68</v>
      </c>
    </row>
    <row r="15" spans="2:8" ht="12.75">
      <c r="B15" s="6"/>
      <c r="C15" s="6"/>
      <c r="D15" s="10"/>
      <c r="E15" s="11"/>
      <c r="F15" s="11"/>
      <c r="G15" s="11"/>
      <c r="H15" s="13"/>
    </row>
    <row r="16" spans="2:8" ht="15">
      <c r="B16" s="6" t="s">
        <v>21</v>
      </c>
      <c r="C16" s="6"/>
      <c r="D16" s="8" t="s">
        <v>22</v>
      </c>
      <c r="E16" s="11"/>
      <c r="F16" s="11"/>
      <c r="G16" s="11"/>
      <c r="H16" s="13"/>
    </row>
    <row r="17" spans="2:8" ht="12.75">
      <c r="B17" s="6"/>
      <c r="C17" s="6"/>
      <c r="D17" s="9" t="s">
        <v>23</v>
      </c>
      <c r="E17" s="11"/>
      <c r="F17" s="11"/>
      <c r="G17" s="11"/>
      <c r="H17" s="13"/>
    </row>
    <row r="18" spans="2:8" ht="12.75">
      <c r="B18" s="6"/>
      <c r="C18" s="6"/>
      <c r="D18" s="10" t="s">
        <v>24</v>
      </c>
      <c r="E18" s="11"/>
      <c r="F18" s="11"/>
      <c r="G18" s="11"/>
      <c r="H18" s="13"/>
    </row>
    <row r="19" spans="2:8" ht="25.5">
      <c r="B19" s="6"/>
      <c r="C19" s="6"/>
      <c r="D19" s="10" t="s">
        <v>25</v>
      </c>
      <c r="E19" s="11" t="s">
        <v>26</v>
      </c>
      <c r="F19" s="11">
        <v>90</v>
      </c>
      <c r="G19" s="11">
        <v>90.49</v>
      </c>
      <c r="H19" s="12">
        <f>F19*G19</f>
        <v>8144.099999999999</v>
      </c>
    </row>
    <row r="20" spans="2:8" ht="12.75">
      <c r="B20" s="6"/>
      <c r="C20" s="6"/>
      <c r="D20" s="10" t="s">
        <v>27</v>
      </c>
      <c r="E20" s="11" t="s">
        <v>26</v>
      </c>
      <c r="F20" s="11">
        <v>720</v>
      </c>
      <c r="G20" s="11">
        <v>29.49</v>
      </c>
      <c r="H20" s="12">
        <f>F20*G20</f>
        <v>21232.8</v>
      </c>
    </row>
    <row r="21" spans="2:8" ht="12.75">
      <c r="B21" s="6"/>
      <c r="C21" s="6"/>
      <c r="D21" s="9" t="s">
        <v>28</v>
      </c>
      <c r="E21" s="11"/>
      <c r="F21" s="11"/>
      <c r="G21" s="11"/>
      <c r="H21" s="12"/>
    </row>
    <row r="22" spans="2:8" ht="25.5">
      <c r="B22" s="6"/>
      <c r="C22" s="6"/>
      <c r="D22" s="10" t="s">
        <v>29</v>
      </c>
      <c r="E22" s="11" t="s">
        <v>30</v>
      </c>
      <c r="F22" s="11">
        <v>4</v>
      </c>
      <c r="G22" s="11">
        <v>849.6</v>
      </c>
      <c r="H22" s="12">
        <f>F22*G22</f>
        <v>3398.4</v>
      </c>
    </row>
    <row r="23" spans="2:8" ht="25.5">
      <c r="B23" s="6"/>
      <c r="C23" s="14">
        <v>73535</v>
      </c>
      <c r="D23" s="10" t="s">
        <v>31</v>
      </c>
      <c r="E23" s="11" t="s">
        <v>26</v>
      </c>
      <c r="F23" s="11">
        <v>8</v>
      </c>
      <c r="G23" s="11">
        <v>148.5</v>
      </c>
      <c r="H23" s="12">
        <f>F23*G23</f>
        <v>1188</v>
      </c>
    </row>
    <row r="24" spans="2:8" ht="12.75">
      <c r="B24" s="6"/>
      <c r="C24" s="6"/>
      <c r="D24" s="9" t="s">
        <v>32</v>
      </c>
      <c r="E24" s="11"/>
      <c r="F24" s="11"/>
      <c r="G24" s="11"/>
      <c r="H24" s="13"/>
    </row>
    <row r="25" spans="2:8" ht="12.75">
      <c r="B25" s="6"/>
      <c r="C25" s="6"/>
      <c r="D25" s="10" t="s">
        <v>33</v>
      </c>
      <c r="E25" s="11" t="s">
        <v>30</v>
      </c>
      <c r="F25" s="11">
        <v>4</v>
      </c>
      <c r="G25" s="11">
        <v>50</v>
      </c>
      <c r="H25" s="12">
        <f>F25*G25</f>
        <v>200</v>
      </c>
    </row>
    <row r="26" spans="2:9" ht="12.75">
      <c r="B26" s="6"/>
      <c r="C26" s="6" t="s">
        <v>34</v>
      </c>
      <c r="D26" s="10" t="s">
        <v>35</v>
      </c>
      <c r="E26" s="11" t="s">
        <v>30</v>
      </c>
      <c r="F26" s="11">
        <v>4</v>
      </c>
      <c r="G26" s="11">
        <v>375</v>
      </c>
      <c r="H26" s="12">
        <f>F26*G26</f>
        <v>1500</v>
      </c>
      <c r="I26" s="15">
        <f>SUM(H13:H27)</f>
        <v>53958.26</v>
      </c>
    </row>
    <row r="27" spans="2:8" ht="12.75">
      <c r="B27" s="6"/>
      <c r="C27" s="6"/>
      <c r="D27" s="16" t="s">
        <v>36</v>
      </c>
      <c r="E27" s="11" t="s">
        <v>18</v>
      </c>
      <c r="F27" s="11">
        <v>1</v>
      </c>
      <c r="G27" s="11">
        <v>18000</v>
      </c>
      <c r="H27" s="11">
        <f>F27*G27</f>
        <v>18000</v>
      </c>
    </row>
    <row r="28" spans="2:8" ht="15">
      <c r="B28" s="6"/>
      <c r="C28" s="6"/>
      <c r="D28" s="8"/>
      <c r="E28" s="13"/>
      <c r="F28" s="13"/>
      <c r="G28" s="13"/>
      <c r="H28" s="13"/>
    </row>
    <row r="29" spans="1:9" ht="15">
      <c r="A29" s="17"/>
      <c r="B29" s="18" t="s">
        <v>37</v>
      </c>
      <c r="C29" s="7"/>
      <c r="D29" s="18" t="s">
        <v>38</v>
      </c>
      <c r="E29" s="19"/>
      <c r="F29" s="19"/>
      <c r="G29" s="19"/>
      <c r="H29" s="19"/>
      <c r="I29" s="17"/>
    </row>
    <row r="30" spans="1:9" ht="15">
      <c r="A30" s="17"/>
      <c r="B30" s="18"/>
      <c r="C30" s="7"/>
      <c r="D30" s="18"/>
      <c r="E30" s="19"/>
      <c r="F30" s="19"/>
      <c r="G30" s="19"/>
      <c r="H30" s="19"/>
      <c r="I30" s="17"/>
    </row>
    <row r="31" spans="1:9" ht="15">
      <c r="A31" s="17"/>
      <c r="B31" s="18"/>
      <c r="C31" s="7"/>
      <c r="D31" s="20" t="s">
        <v>39</v>
      </c>
      <c r="E31" s="19"/>
      <c r="F31" s="19"/>
      <c r="G31" s="19"/>
      <c r="H31" s="19"/>
      <c r="I31" s="17"/>
    </row>
    <row r="32" spans="1:9" ht="15">
      <c r="A32" s="17"/>
      <c r="B32" s="18"/>
      <c r="C32" s="21" t="s">
        <v>40</v>
      </c>
      <c r="D32" s="10" t="s">
        <v>41</v>
      </c>
      <c r="E32" s="12" t="s">
        <v>42</v>
      </c>
      <c r="F32" s="12">
        <v>3861</v>
      </c>
      <c r="G32" s="12">
        <v>0.83</v>
      </c>
      <c r="H32" s="12">
        <f>F32*G32</f>
        <v>3204.6299999999997</v>
      </c>
      <c r="I32" s="17"/>
    </row>
    <row r="33" spans="2:10" s="17" customFormat="1" ht="13.5" customHeight="1">
      <c r="B33" s="18"/>
      <c r="C33" s="21" t="s">
        <v>43</v>
      </c>
      <c r="D33" s="10" t="s">
        <v>44</v>
      </c>
      <c r="E33" s="22" t="s">
        <v>45</v>
      </c>
      <c r="F33" s="12">
        <v>0.3861</v>
      </c>
      <c r="G33" s="12">
        <v>10222.59</v>
      </c>
      <c r="H33" s="12">
        <f>F33*G33</f>
        <v>3946.941999</v>
      </c>
      <c r="J33" s="23"/>
    </row>
    <row r="34" spans="2:10" s="17" customFormat="1" ht="13.5" customHeight="1">
      <c r="B34" s="18"/>
      <c r="C34" s="7"/>
      <c r="D34" s="18"/>
      <c r="E34" s="12"/>
      <c r="F34" s="12"/>
      <c r="G34" s="12"/>
      <c r="H34" s="12"/>
      <c r="J34" s="23"/>
    </row>
    <row r="35" spans="2:10" s="17" customFormat="1" ht="13.5" customHeight="1">
      <c r="B35" s="18"/>
      <c r="C35" s="7"/>
      <c r="D35" s="20" t="s">
        <v>46</v>
      </c>
      <c r="E35" s="19"/>
      <c r="F35" s="19"/>
      <c r="G35" s="12"/>
      <c r="H35" s="12"/>
      <c r="J35" s="23"/>
    </row>
    <row r="36" spans="2:10" s="17" customFormat="1" ht="13.5" customHeight="1">
      <c r="B36" s="18"/>
      <c r="C36" s="21" t="s">
        <v>47</v>
      </c>
      <c r="D36" s="24" t="s">
        <v>48</v>
      </c>
      <c r="E36" s="12" t="s">
        <v>49</v>
      </c>
      <c r="F36" s="12">
        <v>11.5</v>
      </c>
      <c r="G36" s="12">
        <v>0.5</v>
      </c>
      <c r="H36" s="12">
        <f>F36*G36</f>
        <v>5.75</v>
      </c>
      <c r="J36" s="23"/>
    </row>
    <row r="37" spans="2:10" s="17" customFormat="1" ht="13.5" customHeight="1">
      <c r="B37" s="18"/>
      <c r="C37" s="21" t="s">
        <v>50</v>
      </c>
      <c r="D37" s="10" t="s">
        <v>51</v>
      </c>
      <c r="E37" s="12" t="s">
        <v>42</v>
      </c>
      <c r="F37" s="12">
        <v>3861</v>
      </c>
      <c r="G37" s="12">
        <v>0.05</v>
      </c>
      <c r="H37" s="12">
        <f>F37*G37</f>
        <v>193.05</v>
      </c>
      <c r="J37" s="23"/>
    </row>
    <row r="38" spans="2:10" s="17" customFormat="1" ht="13.5" customHeight="1">
      <c r="B38" s="18"/>
      <c r="C38" s="21"/>
      <c r="D38" s="10"/>
      <c r="E38" s="12"/>
      <c r="F38" s="12"/>
      <c r="G38" s="12"/>
      <c r="H38" s="12"/>
      <c r="J38" s="23"/>
    </row>
    <row r="39" spans="2:10" s="17" customFormat="1" ht="13.5" customHeight="1">
      <c r="B39" s="18"/>
      <c r="C39" s="21" t="s">
        <v>52</v>
      </c>
      <c r="D39" s="10" t="s">
        <v>53</v>
      </c>
      <c r="E39" s="12" t="s">
        <v>54</v>
      </c>
      <c r="F39" s="12">
        <v>624.8</v>
      </c>
      <c r="G39" s="12">
        <v>41.36</v>
      </c>
      <c r="H39" s="12">
        <f>F39*G39</f>
        <v>25841.728</v>
      </c>
      <c r="J39" s="23"/>
    </row>
    <row r="40" spans="2:10" s="17" customFormat="1" ht="13.5" customHeight="1">
      <c r="B40" s="18"/>
      <c r="C40" s="21" t="s">
        <v>55</v>
      </c>
      <c r="D40" s="10" t="s">
        <v>56</v>
      </c>
      <c r="E40" s="12" t="s">
        <v>49</v>
      </c>
      <c r="F40" s="12">
        <v>2.3</v>
      </c>
      <c r="G40" s="12">
        <v>1.57</v>
      </c>
      <c r="H40" s="12">
        <f>F40*G40</f>
        <v>3.6109999999999998</v>
      </c>
      <c r="J40" s="23"/>
    </row>
    <row r="41" spans="2:10" s="17" customFormat="1" ht="13.5" customHeight="1">
      <c r="B41" s="18"/>
      <c r="C41" s="21" t="s">
        <v>57</v>
      </c>
      <c r="D41" s="10" t="s">
        <v>58</v>
      </c>
      <c r="E41" s="12" t="s">
        <v>42</v>
      </c>
      <c r="F41" s="12">
        <v>3861</v>
      </c>
      <c r="G41" s="12">
        <v>0.03</v>
      </c>
      <c r="H41" s="12">
        <f>F41*G41</f>
        <v>115.83</v>
      </c>
      <c r="J41" s="23"/>
    </row>
    <row r="42" spans="2:10" s="17" customFormat="1" ht="13.5" customHeight="1">
      <c r="B42" s="18"/>
      <c r="C42" s="21" t="s">
        <v>59</v>
      </c>
      <c r="D42" s="10" t="s">
        <v>60</v>
      </c>
      <c r="E42" s="12" t="s">
        <v>61</v>
      </c>
      <c r="F42" s="12">
        <v>12</v>
      </c>
      <c r="G42" s="12">
        <v>39.47</v>
      </c>
      <c r="H42" s="12">
        <f>F42*G42</f>
        <v>473.64</v>
      </c>
      <c r="J42" s="23"/>
    </row>
    <row r="43" spans="2:10" s="17" customFormat="1" ht="13.5" customHeight="1">
      <c r="B43" s="18"/>
      <c r="C43" s="7"/>
      <c r="D43" s="18"/>
      <c r="E43" s="12"/>
      <c r="F43" s="12"/>
      <c r="G43" s="12"/>
      <c r="H43" s="12"/>
      <c r="J43" s="2"/>
    </row>
    <row r="44" spans="1:10" s="17" customFormat="1" ht="13.5" customHeight="1">
      <c r="A44" s="25"/>
      <c r="B44" s="20" t="s">
        <v>62</v>
      </c>
      <c r="C44" s="26"/>
      <c r="D44" s="20" t="s">
        <v>63</v>
      </c>
      <c r="E44" s="27"/>
      <c r="F44" s="27"/>
      <c r="G44" s="27"/>
      <c r="H44" s="27"/>
      <c r="I44" s="25"/>
      <c r="J44" s="2"/>
    </row>
    <row r="45" spans="1:10" s="17" customFormat="1" ht="25.5">
      <c r="A45"/>
      <c r="B45" s="24" t="s">
        <v>64</v>
      </c>
      <c r="C45" s="21" t="s">
        <v>34</v>
      </c>
      <c r="D45" s="10" t="s">
        <v>65</v>
      </c>
      <c r="E45" s="12" t="s">
        <v>30</v>
      </c>
      <c r="F45" s="28">
        <v>4</v>
      </c>
      <c r="G45" s="12">
        <v>540</v>
      </c>
      <c r="H45" s="28">
        <f>G45*F45</f>
        <v>2160</v>
      </c>
      <c r="I45"/>
      <c r="J45" s="23"/>
    </row>
    <row r="46" spans="1:10" s="17" customFormat="1" ht="38.25">
      <c r="A46"/>
      <c r="B46" s="24" t="s">
        <v>66</v>
      </c>
      <c r="C46" s="21" t="s">
        <v>34</v>
      </c>
      <c r="D46" s="10" t="s">
        <v>67</v>
      </c>
      <c r="E46" s="12" t="s">
        <v>30</v>
      </c>
      <c r="F46" s="28">
        <v>4</v>
      </c>
      <c r="G46" s="12">
        <v>790</v>
      </c>
      <c r="H46" s="28">
        <f>G46*F46</f>
        <v>3160</v>
      </c>
      <c r="I46"/>
      <c r="J46" s="23"/>
    </row>
    <row r="47" spans="1:10" s="17" customFormat="1" ht="25.5">
      <c r="A47"/>
      <c r="B47" s="24"/>
      <c r="C47" s="21" t="s">
        <v>68</v>
      </c>
      <c r="D47" s="10" t="s">
        <v>69</v>
      </c>
      <c r="E47" s="12" t="s">
        <v>42</v>
      </c>
      <c r="F47" s="28">
        <v>50</v>
      </c>
      <c r="G47" s="28">
        <v>293.33</v>
      </c>
      <c r="H47" s="28">
        <f>G47*F47</f>
        <v>14666.5</v>
      </c>
      <c r="I47"/>
      <c r="J47" s="23"/>
    </row>
    <row r="48" spans="1:10" s="25" customFormat="1" ht="12.75">
      <c r="A48"/>
      <c r="B48" s="24"/>
      <c r="C48" s="21" t="s">
        <v>34</v>
      </c>
      <c r="D48" s="10" t="s">
        <v>70</v>
      </c>
      <c r="E48" s="12" t="s">
        <v>71</v>
      </c>
      <c r="F48" s="28">
        <v>4</v>
      </c>
      <c r="G48" s="28">
        <v>300</v>
      </c>
      <c r="H48" s="28">
        <f>G48*F48</f>
        <v>1200</v>
      </c>
      <c r="I48"/>
      <c r="J48" s="23"/>
    </row>
    <row r="49" spans="2:8" ht="12.75">
      <c r="B49" s="24"/>
      <c r="C49" s="21"/>
      <c r="D49" s="29"/>
      <c r="E49" s="12"/>
      <c r="F49" s="28"/>
      <c r="G49" s="28"/>
      <c r="H49" s="28"/>
    </row>
    <row r="50" spans="1:9" ht="12.75">
      <c r="A50" s="25"/>
      <c r="B50" s="20" t="s">
        <v>72</v>
      </c>
      <c r="C50" s="26"/>
      <c r="D50" s="20" t="s">
        <v>73</v>
      </c>
      <c r="E50" s="27"/>
      <c r="F50" s="28"/>
      <c r="G50" s="27"/>
      <c r="H50" s="28"/>
      <c r="I50" s="25"/>
    </row>
    <row r="51" spans="2:8" ht="25.5">
      <c r="B51" s="24" t="s">
        <v>74</v>
      </c>
      <c r="C51" s="21" t="s">
        <v>75</v>
      </c>
      <c r="D51" s="10" t="s">
        <v>76</v>
      </c>
      <c r="E51" s="12" t="s">
        <v>61</v>
      </c>
      <c r="F51" s="28">
        <v>1</v>
      </c>
      <c r="G51" s="28">
        <v>1104.98</v>
      </c>
      <c r="H51" s="28">
        <f>G51*F51</f>
        <v>1104.98</v>
      </c>
    </row>
    <row r="52" spans="2:8" ht="12.75">
      <c r="B52" s="24"/>
      <c r="C52" s="21"/>
      <c r="D52" s="10" t="s">
        <v>77</v>
      </c>
      <c r="E52" s="11" t="s">
        <v>18</v>
      </c>
      <c r="F52" s="28">
        <v>1</v>
      </c>
      <c r="G52" s="11">
        <v>526.06</v>
      </c>
      <c r="H52" s="28">
        <f>G52*F52</f>
        <v>526.06</v>
      </c>
    </row>
    <row r="53" spans="2:8" ht="12.75">
      <c r="B53" s="24"/>
      <c r="C53" s="21"/>
      <c r="D53" s="29"/>
      <c r="E53" s="12"/>
      <c r="F53" s="28"/>
      <c r="G53" s="28"/>
      <c r="H53" s="28"/>
    </row>
    <row r="54" spans="2:10" s="25" customFormat="1" ht="12.75">
      <c r="B54" s="20" t="s">
        <v>78</v>
      </c>
      <c r="C54" s="26"/>
      <c r="D54" s="20" t="s">
        <v>79</v>
      </c>
      <c r="E54" s="27"/>
      <c r="F54" s="28"/>
      <c r="G54" s="27"/>
      <c r="H54" s="27"/>
      <c r="J54" s="23"/>
    </row>
    <row r="55" spans="2:8" ht="25.5">
      <c r="B55" s="24" t="s">
        <v>80</v>
      </c>
      <c r="C55" s="21">
        <v>73683</v>
      </c>
      <c r="D55" s="10" t="s">
        <v>81</v>
      </c>
      <c r="E55" s="12" t="s">
        <v>61</v>
      </c>
      <c r="F55" s="28">
        <v>6</v>
      </c>
      <c r="G55" s="28">
        <v>28.69</v>
      </c>
      <c r="H55" s="28">
        <f>G55*F55</f>
        <v>172.14000000000001</v>
      </c>
    </row>
    <row r="56" spans="2:8" ht="12.75">
      <c r="B56" s="24" t="s">
        <v>80</v>
      </c>
      <c r="C56" s="21" t="s">
        <v>82</v>
      </c>
      <c r="D56" s="10" t="s">
        <v>83</v>
      </c>
      <c r="E56" s="12" t="s">
        <v>42</v>
      </c>
      <c r="F56" s="28">
        <f>1.2*2.5</f>
        <v>3</v>
      </c>
      <c r="G56" s="28">
        <v>213.83</v>
      </c>
      <c r="H56" s="28">
        <f>G56*F56</f>
        <v>641.49</v>
      </c>
    </row>
    <row r="57" spans="2:8" ht="12.75">
      <c r="B57" s="24" t="s">
        <v>80</v>
      </c>
      <c r="C57" s="21" t="s">
        <v>84</v>
      </c>
      <c r="D57" s="10" t="s">
        <v>85</v>
      </c>
      <c r="E57" s="12" t="s">
        <v>42</v>
      </c>
      <c r="F57" s="28">
        <v>120</v>
      </c>
      <c r="G57" s="12">
        <v>37.13</v>
      </c>
      <c r="H57" s="28">
        <f>G57*F57</f>
        <v>4455.6</v>
      </c>
    </row>
    <row r="58" spans="1:10" s="25" customFormat="1" ht="12.75">
      <c r="A58"/>
      <c r="B58" s="24"/>
      <c r="C58" s="21"/>
      <c r="D58" s="29"/>
      <c r="E58" s="12"/>
      <c r="F58" s="28"/>
      <c r="G58" s="28"/>
      <c r="H58" s="28"/>
      <c r="I58"/>
      <c r="J58" s="23"/>
    </row>
    <row r="59" spans="1:9" ht="12.75">
      <c r="A59" s="25"/>
      <c r="B59" s="20" t="s">
        <v>86</v>
      </c>
      <c r="C59" s="26"/>
      <c r="D59" s="20" t="s">
        <v>87</v>
      </c>
      <c r="E59" s="27"/>
      <c r="F59" s="28"/>
      <c r="G59" s="27"/>
      <c r="H59" s="27"/>
      <c r="I59" s="25"/>
    </row>
    <row r="60" spans="2:8" ht="12.75">
      <c r="B60" s="24" t="s">
        <v>88</v>
      </c>
      <c r="C60" s="21"/>
      <c r="D60" s="10" t="s">
        <v>89</v>
      </c>
      <c r="E60" s="12"/>
      <c r="F60" s="28"/>
      <c r="G60" s="28"/>
      <c r="H60" s="28"/>
    </row>
    <row r="61" spans="2:9" ht="12.75">
      <c r="B61" s="24" t="s">
        <v>90</v>
      </c>
      <c r="C61" s="21">
        <v>73616</v>
      </c>
      <c r="D61" s="10" t="s">
        <v>91</v>
      </c>
      <c r="E61" s="12" t="s">
        <v>49</v>
      </c>
      <c r="F61" s="28">
        <f>Quantitativo!D8</f>
        <v>3.2200000000000006</v>
      </c>
      <c r="G61" s="28">
        <v>147.4</v>
      </c>
      <c r="H61" s="28">
        <f>G61*F61</f>
        <v>474.6280000000001</v>
      </c>
      <c r="I61" s="15"/>
    </row>
    <row r="62" spans="2:8" ht="13.5" customHeight="1">
      <c r="B62" s="24" t="s">
        <v>92</v>
      </c>
      <c r="C62" s="21" t="s">
        <v>93</v>
      </c>
      <c r="D62" s="10" t="s">
        <v>94</v>
      </c>
      <c r="E62" s="12" t="s">
        <v>49</v>
      </c>
      <c r="F62" s="28">
        <f>Quantitativo!D18</f>
        <v>0.9922500000000001</v>
      </c>
      <c r="G62" s="28">
        <v>56.69</v>
      </c>
      <c r="H62" s="28">
        <f>G62*F62</f>
        <v>56.2506525</v>
      </c>
    </row>
    <row r="63" spans="1:10" s="25" customFormat="1" ht="12.75">
      <c r="A63"/>
      <c r="B63" s="24" t="s">
        <v>95</v>
      </c>
      <c r="C63" s="21" t="s">
        <v>96</v>
      </c>
      <c r="D63" s="10" t="s">
        <v>97</v>
      </c>
      <c r="E63" s="11" t="s">
        <v>49</v>
      </c>
      <c r="F63" s="28">
        <f>Quantitativo!D8</f>
        <v>3.2200000000000006</v>
      </c>
      <c r="G63" s="28">
        <v>15.1</v>
      </c>
      <c r="H63" s="28">
        <f>G63*F63</f>
        <v>48.62200000000001</v>
      </c>
      <c r="I63"/>
      <c r="J63" s="23"/>
    </row>
    <row r="64" spans="2:8" ht="12.75">
      <c r="B64" s="24" t="s">
        <v>98</v>
      </c>
      <c r="C64" s="21" t="s">
        <v>99</v>
      </c>
      <c r="D64" s="10" t="s">
        <v>100</v>
      </c>
      <c r="E64" s="12" t="s">
        <v>49</v>
      </c>
      <c r="F64" s="28">
        <f>Quantitativo!C22</f>
        <v>29.48</v>
      </c>
      <c r="G64" s="12">
        <v>123.82</v>
      </c>
      <c r="H64" s="28">
        <f>G64*F64</f>
        <v>3650.2136</v>
      </c>
    </row>
    <row r="65" spans="2:8" ht="12.75">
      <c r="B65" s="6"/>
      <c r="C65" s="6"/>
      <c r="D65" s="6"/>
      <c r="E65" s="13"/>
      <c r="F65" s="13"/>
      <c r="G65" s="13"/>
      <c r="H65" s="13"/>
    </row>
    <row r="66" spans="1:9" ht="12.75">
      <c r="A66" s="25"/>
      <c r="B66" s="20" t="s">
        <v>101</v>
      </c>
      <c r="C66" s="26"/>
      <c r="D66" s="20" t="s">
        <v>102</v>
      </c>
      <c r="E66" s="27"/>
      <c r="F66" s="28"/>
      <c r="G66" s="27"/>
      <c r="H66" s="27"/>
      <c r="I66" s="25"/>
    </row>
    <row r="67" spans="1:9" ht="25.5">
      <c r="A67" s="30"/>
      <c r="B67" s="31" t="s">
        <v>103</v>
      </c>
      <c r="C67" s="32" t="s">
        <v>104</v>
      </c>
      <c r="D67" s="10" t="s">
        <v>105</v>
      </c>
      <c r="E67" s="33" t="s">
        <v>106</v>
      </c>
      <c r="F67" s="34">
        <f>55.4*20</f>
        <v>1108</v>
      </c>
      <c r="G67" s="34">
        <v>1.7</v>
      </c>
      <c r="H67" s="34">
        <f>G67*F67</f>
        <v>1883.6</v>
      </c>
      <c r="I67" s="30"/>
    </row>
    <row r="68" spans="2:8" ht="15.75">
      <c r="B68" s="24"/>
      <c r="C68" s="21"/>
      <c r="D68" s="35"/>
      <c r="E68" s="12"/>
      <c r="F68" s="28"/>
      <c r="G68" s="28"/>
      <c r="H68" s="28"/>
    </row>
    <row r="69" spans="1:9" ht="12.75">
      <c r="A69" s="25"/>
      <c r="B69" s="20" t="s">
        <v>107</v>
      </c>
      <c r="C69" s="26"/>
      <c r="D69" s="36" t="s">
        <v>108</v>
      </c>
      <c r="E69" s="27"/>
      <c r="F69" s="27"/>
      <c r="G69" s="27"/>
      <c r="H69" s="27"/>
      <c r="I69" s="25"/>
    </row>
    <row r="70" spans="1:10" s="25" customFormat="1" ht="12.75">
      <c r="A70"/>
      <c r="B70" s="24" t="s">
        <v>109</v>
      </c>
      <c r="C70" s="21"/>
      <c r="D70" s="10" t="s">
        <v>110</v>
      </c>
      <c r="E70" s="12"/>
      <c r="F70" s="28"/>
      <c r="G70" s="28"/>
      <c r="H70" s="28"/>
      <c r="I70"/>
      <c r="J70" s="23"/>
    </row>
    <row r="71" spans="1:10" s="30" customFormat="1" ht="12.75">
      <c r="A71"/>
      <c r="B71" s="24" t="s">
        <v>111</v>
      </c>
      <c r="C71" s="21">
        <v>78018</v>
      </c>
      <c r="D71" s="10" t="s">
        <v>112</v>
      </c>
      <c r="E71" s="12" t="s">
        <v>49</v>
      </c>
      <c r="F71" s="28">
        <f>Quantitativo!B33</f>
        <v>113.98</v>
      </c>
      <c r="G71" s="28">
        <v>24.17</v>
      </c>
      <c r="H71" s="28">
        <f>G71*F71</f>
        <v>2754.8966000000005</v>
      </c>
      <c r="I71"/>
      <c r="J71" s="37"/>
    </row>
    <row r="72" spans="2:9" ht="12.75">
      <c r="B72" s="24" t="s">
        <v>113</v>
      </c>
      <c r="C72" s="21">
        <v>79484</v>
      </c>
      <c r="D72" s="10" t="s">
        <v>114</v>
      </c>
      <c r="E72" s="12" t="s">
        <v>49</v>
      </c>
      <c r="F72" s="28">
        <f>Quantitativo!B38+47.45</f>
        <v>58.94200000000001</v>
      </c>
      <c r="G72" s="12">
        <v>33.68</v>
      </c>
      <c r="H72" s="28">
        <f>G72*F72</f>
        <v>1985.1665600000001</v>
      </c>
      <c r="I72" s="15">
        <f>SUM(H32:H72)</f>
        <v>72725.3284115</v>
      </c>
    </row>
    <row r="73" spans="1:10" s="25" customFormat="1" ht="12.75">
      <c r="A73"/>
      <c r="B73" s="24"/>
      <c r="C73" s="21"/>
      <c r="D73" s="29"/>
      <c r="E73" s="12"/>
      <c r="F73" s="28"/>
      <c r="G73" s="28"/>
      <c r="H73" s="28"/>
      <c r="I73"/>
      <c r="J73" s="23"/>
    </row>
    <row r="74" spans="1:9" ht="15">
      <c r="A74" s="17"/>
      <c r="B74" s="18" t="s">
        <v>115</v>
      </c>
      <c r="C74" s="7"/>
      <c r="D74" s="18" t="s">
        <v>116</v>
      </c>
      <c r="E74" s="19"/>
      <c r="F74" s="28"/>
      <c r="G74" s="19"/>
      <c r="H74" s="19"/>
      <c r="I74" s="17"/>
    </row>
    <row r="75" spans="2:8" ht="12.75">
      <c r="B75" s="24"/>
      <c r="C75" s="21"/>
      <c r="D75" s="29"/>
      <c r="E75" s="12"/>
      <c r="F75" s="28"/>
      <c r="G75" s="28"/>
      <c r="H75" s="28"/>
    </row>
    <row r="76" spans="1:9" ht="12.75">
      <c r="A76" s="25"/>
      <c r="B76" s="20" t="s">
        <v>117</v>
      </c>
      <c r="C76" s="26"/>
      <c r="D76" s="20" t="s">
        <v>118</v>
      </c>
      <c r="E76" s="27"/>
      <c r="F76" s="28"/>
      <c r="G76" s="27"/>
      <c r="H76" s="27"/>
      <c r="I76" s="25"/>
    </row>
    <row r="77" spans="2:8" ht="12.75">
      <c r="B77" s="24" t="s">
        <v>119</v>
      </c>
      <c r="C77" s="21" t="s">
        <v>120</v>
      </c>
      <c r="D77" s="10" t="s">
        <v>121</v>
      </c>
      <c r="E77" s="12" t="s">
        <v>49</v>
      </c>
      <c r="F77" s="28">
        <f>Quantitativo!B44</f>
        <v>4.045045499006437</v>
      </c>
      <c r="G77" s="28">
        <v>289.16</v>
      </c>
      <c r="H77" s="28">
        <f>G77*F77</f>
        <v>1169.6653564927014</v>
      </c>
    </row>
    <row r="78" spans="1:10" s="17" customFormat="1" ht="15">
      <c r="A78"/>
      <c r="B78" s="24"/>
      <c r="C78" s="21"/>
      <c r="D78" s="10"/>
      <c r="E78" s="12"/>
      <c r="F78" s="28"/>
      <c r="G78" s="28"/>
      <c r="H78" s="28"/>
      <c r="I78"/>
      <c r="J78" s="23"/>
    </row>
    <row r="79" spans="1:9" ht="12.75">
      <c r="A79" s="25"/>
      <c r="B79" s="20" t="s">
        <v>122</v>
      </c>
      <c r="C79" s="26"/>
      <c r="D79" s="10" t="s">
        <v>123</v>
      </c>
      <c r="E79" s="27"/>
      <c r="F79" s="28"/>
      <c r="G79" s="27"/>
      <c r="H79" s="27"/>
      <c r="I79" s="25"/>
    </row>
    <row r="80" spans="1:10" s="25" customFormat="1" ht="12.75">
      <c r="A80"/>
      <c r="B80" s="24" t="s">
        <v>124</v>
      </c>
      <c r="C80" s="21" t="s">
        <v>34</v>
      </c>
      <c r="D80" s="10" t="s">
        <v>125</v>
      </c>
      <c r="E80" s="12" t="s">
        <v>49</v>
      </c>
      <c r="F80" s="28">
        <f>Quantitativo!B46</f>
        <v>16.18018199602575</v>
      </c>
      <c r="G80" s="12">
        <v>302.24</v>
      </c>
      <c r="H80" s="28">
        <f>G80*F80</f>
        <v>4890.298206478822</v>
      </c>
      <c r="I80"/>
      <c r="J80" s="23"/>
    </row>
    <row r="81" spans="2:8" ht="12.75">
      <c r="B81" s="24" t="s">
        <v>126</v>
      </c>
      <c r="C81" s="21">
        <v>5970</v>
      </c>
      <c r="D81" s="10" t="s">
        <v>127</v>
      </c>
      <c r="E81" s="12" t="s">
        <v>42</v>
      </c>
      <c r="F81" s="28">
        <f>Quantitativo!B48</f>
        <v>9.6</v>
      </c>
      <c r="G81" s="28">
        <v>42.9</v>
      </c>
      <c r="H81" s="28">
        <f>G81*F81</f>
        <v>411.84</v>
      </c>
    </row>
    <row r="82" spans="2:8" ht="25.5">
      <c r="B82" s="24" t="s">
        <v>128</v>
      </c>
      <c r="C82" s="21" t="s">
        <v>129</v>
      </c>
      <c r="D82" s="10" t="s">
        <v>130</v>
      </c>
      <c r="E82" s="12" t="s">
        <v>131</v>
      </c>
      <c r="F82" s="28">
        <v>1216</v>
      </c>
      <c r="G82" s="12">
        <v>6.96</v>
      </c>
      <c r="H82" s="28">
        <f>G82*F82</f>
        <v>8463.36</v>
      </c>
    </row>
    <row r="83" spans="1:10" s="25" customFormat="1" ht="12.75">
      <c r="A83"/>
      <c r="B83" s="24"/>
      <c r="C83" s="21"/>
      <c r="D83" s="29"/>
      <c r="E83" s="12"/>
      <c r="F83" s="28"/>
      <c r="G83" s="28"/>
      <c r="H83" s="28"/>
      <c r="I83" s="15">
        <f>SUM(H77:H82)</f>
        <v>14935.163562971524</v>
      </c>
      <c r="J83" s="23"/>
    </row>
    <row r="84" spans="1:9" ht="15">
      <c r="A84" s="17"/>
      <c r="B84" s="18" t="s">
        <v>132</v>
      </c>
      <c r="C84" s="7"/>
      <c r="D84" s="18" t="s">
        <v>133</v>
      </c>
      <c r="E84" s="19"/>
      <c r="F84" s="28"/>
      <c r="G84" s="19"/>
      <c r="H84" s="19"/>
      <c r="I84" s="17"/>
    </row>
    <row r="85" spans="2:8" ht="12.75">
      <c r="B85" s="24"/>
      <c r="C85" s="21"/>
      <c r="D85" s="29"/>
      <c r="E85" s="12"/>
      <c r="F85" s="28"/>
      <c r="G85" s="28"/>
      <c r="H85" s="28"/>
    </row>
    <row r="86" spans="1:9" ht="12.75">
      <c r="A86" s="25"/>
      <c r="B86" s="20" t="s">
        <v>134</v>
      </c>
      <c r="C86" s="26"/>
      <c r="D86" s="20" t="s">
        <v>135</v>
      </c>
      <c r="E86" s="27"/>
      <c r="F86" s="28"/>
      <c r="G86" s="27"/>
      <c r="H86" s="27"/>
      <c r="I86" s="25"/>
    </row>
    <row r="87" spans="2:8" ht="12.75">
      <c r="B87" s="24" t="s">
        <v>136</v>
      </c>
      <c r="C87" s="21" t="s">
        <v>137</v>
      </c>
      <c r="D87" s="10" t="s">
        <v>138</v>
      </c>
      <c r="E87" s="12" t="s">
        <v>42</v>
      </c>
      <c r="F87" s="28">
        <f>Quantitativo!B88</f>
        <v>10.2</v>
      </c>
      <c r="G87" s="28">
        <v>245.5</v>
      </c>
      <c r="H87" s="28">
        <f>G87*F87</f>
        <v>2504.1</v>
      </c>
    </row>
    <row r="88" spans="1:10" s="17" customFormat="1" ht="25.5">
      <c r="A88"/>
      <c r="B88" s="24" t="s">
        <v>139</v>
      </c>
      <c r="C88" s="21">
        <v>6067</v>
      </c>
      <c r="D88" s="10" t="s">
        <v>140</v>
      </c>
      <c r="E88" s="12" t="s">
        <v>42</v>
      </c>
      <c r="F88" s="28">
        <f>F87</f>
        <v>10.2</v>
      </c>
      <c r="G88" s="28">
        <v>23.46</v>
      </c>
      <c r="H88" s="28">
        <f>G88*F88</f>
        <v>239.292</v>
      </c>
      <c r="I88"/>
      <c r="J88" s="23"/>
    </row>
    <row r="89" spans="2:8" ht="12.75">
      <c r="B89" s="24"/>
      <c r="C89" s="21"/>
      <c r="D89" s="29"/>
      <c r="E89" s="12"/>
      <c r="F89" s="28"/>
      <c r="G89" s="28"/>
      <c r="H89" s="28"/>
    </row>
    <row r="90" spans="2:10" s="25" customFormat="1" ht="12.75">
      <c r="B90" s="20" t="s">
        <v>141</v>
      </c>
      <c r="C90" s="26"/>
      <c r="D90" s="20" t="s">
        <v>142</v>
      </c>
      <c r="E90" s="27"/>
      <c r="F90" s="28"/>
      <c r="G90" s="27"/>
      <c r="H90" s="27"/>
      <c r="J90" s="23"/>
    </row>
    <row r="91" spans="2:8" ht="25.5">
      <c r="B91" s="24" t="s">
        <v>143</v>
      </c>
      <c r="C91" s="21" t="s">
        <v>144</v>
      </c>
      <c r="D91" s="10" t="s">
        <v>145</v>
      </c>
      <c r="E91" s="12" t="s">
        <v>42</v>
      </c>
      <c r="F91" s="28">
        <f>Quantitativo!B71</f>
        <v>15.83</v>
      </c>
      <c r="G91" s="28">
        <v>68.79</v>
      </c>
      <c r="H91" s="28">
        <f aca="true" t="shared" si="0" ref="H91:H96">G91*F91</f>
        <v>1088.9457000000002</v>
      </c>
    </row>
    <row r="92" spans="2:8" ht="12.75">
      <c r="B92" s="24" t="s">
        <v>146</v>
      </c>
      <c r="C92" s="21">
        <v>73445</v>
      </c>
      <c r="D92" s="10" t="s">
        <v>147</v>
      </c>
      <c r="E92" s="12" t="s">
        <v>42</v>
      </c>
      <c r="F92" s="28">
        <f>Quantitativo!B93</f>
        <v>36.533</v>
      </c>
      <c r="G92" s="28">
        <v>4.27</v>
      </c>
      <c r="H92" s="28">
        <f t="shared" si="0"/>
        <v>155.99590999999998</v>
      </c>
    </row>
    <row r="93" spans="2:8" ht="12.75">
      <c r="B93" s="24" t="s">
        <v>148</v>
      </c>
      <c r="C93" s="21">
        <v>87906</v>
      </c>
      <c r="D93" s="10" t="s">
        <v>149</v>
      </c>
      <c r="E93" s="12" t="s">
        <v>42</v>
      </c>
      <c r="F93" s="28">
        <f>Quantitativo!B90</f>
        <v>0.405</v>
      </c>
      <c r="G93" s="28">
        <v>4.5</v>
      </c>
      <c r="H93" s="28">
        <f t="shared" si="0"/>
        <v>1.8225000000000002</v>
      </c>
    </row>
    <row r="94" spans="1:10" s="25" customFormat="1" ht="12.75">
      <c r="A94"/>
      <c r="B94" s="24" t="s">
        <v>150</v>
      </c>
      <c r="C94" s="21">
        <v>87546</v>
      </c>
      <c r="D94" s="10" t="s">
        <v>151</v>
      </c>
      <c r="E94" s="12" t="s">
        <v>42</v>
      </c>
      <c r="F94" s="28">
        <f>F93</f>
        <v>0.405</v>
      </c>
      <c r="G94" s="12">
        <v>16.76</v>
      </c>
      <c r="H94" s="28">
        <f t="shared" si="0"/>
        <v>6.787800000000001</v>
      </c>
      <c r="I94"/>
      <c r="J94" s="23"/>
    </row>
    <row r="95" spans="2:8" ht="12.75">
      <c r="B95" s="24" t="s">
        <v>152</v>
      </c>
      <c r="C95" s="21">
        <v>75481</v>
      </c>
      <c r="D95" s="10" t="s">
        <v>153</v>
      </c>
      <c r="E95" s="12" t="s">
        <v>42</v>
      </c>
      <c r="F95" s="28">
        <f>F94</f>
        <v>0.405</v>
      </c>
      <c r="G95" s="28">
        <v>11.65</v>
      </c>
      <c r="H95" s="28">
        <f t="shared" si="0"/>
        <v>4.71825</v>
      </c>
    </row>
    <row r="96" spans="2:8" ht="12.75">
      <c r="B96" s="24" t="s">
        <v>154</v>
      </c>
      <c r="C96" s="21">
        <v>73415</v>
      </c>
      <c r="D96" s="10" t="s">
        <v>155</v>
      </c>
      <c r="E96" s="12" t="s">
        <v>42</v>
      </c>
      <c r="F96" s="28">
        <f>Quantitativo!B91</f>
        <v>0.72</v>
      </c>
      <c r="G96" s="28">
        <v>10.79</v>
      </c>
      <c r="H96" s="28">
        <f t="shared" si="0"/>
        <v>7.768799999999999</v>
      </c>
    </row>
    <row r="97" spans="2:8" ht="12.75">
      <c r="B97" s="24"/>
      <c r="C97" s="21"/>
      <c r="D97" s="29"/>
      <c r="E97" s="12"/>
      <c r="F97" s="28"/>
      <c r="G97" s="28"/>
      <c r="H97" s="28"/>
    </row>
    <row r="98" spans="1:9" ht="12.75">
      <c r="A98" s="25"/>
      <c r="B98" s="20" t="s">
        <v>156</v>
      </c>
      <c r="C98" s="26"/>
      <c r="D98" s="20" t="s">
        <v>157</v>
      </c>
      <c r="E98" s="27"/>
      <c r="F98" s="27"/>
      <c r="G98" s="27"/>
      <c r="H98" s="27"/>
      <c r="I98" s="25"/>
    </row>
    <row r="99" spans="1:9" ht="38.25">
      <c r="A99" s="38"/>
      <c r="B99" s="31" t="s">
        <v>158</v>
      </c>
      <c r="C99" s="32"/>
      <c r="D99" s="10" t="s">
        <v>159</v>
      </c>
      <c r="E99" s="33" t="s">
        <v>160</v>
      </c>
      <c r="F99" s="34">
        <v>3</v>
      </c>
      <c r="G99" s="33">
        <v>1371.01</v>
      </c>
      <c r="H99" s="34">
        <f>G99*F99</f>
        <v>4113.03</v>
      </c>
      <c r="I99" s="38"/>
    </row>
    <row r="100" spans="2:8" ht="12.75">
      <c r="B100" s="24" t="s">
        <v>158</v>
      </c>
      <c r="C100" s="21">
        <v>5622</v>
      </c>
      <c r="D100" s="10" t="s">
        <v>161</v>
      </c>
      <c r="E100" s="12" t="s">
        <v>42</v>
      </c>
      <c r="F100" s="28">
        <v>63.85</v>
      </c>
      <c r="G100" s="28">
        <v>3.32</v>
      </c>
      <c r="H100" s="28">
        <f>G100*F100</f>
        <v>211.982</v>
      </c>
    </row>
    <row r="101" spans="2:8" ht="38.25">
      <c r="B101" s="24" t="s">
        <v>162</v>
      </c>
      <c r="C101" s="21" t="s">
        <v>163</v>
      </c>
      <c r="D101" s="10" t="s">
        <v>164</v>
      </c>
      <c r="E101" s="12" t="s">
        <v>165</v>
      </c>
      <c r="F101" s="28">
        <f>Quantitativo!B80</f>
        <v>73.066</v>
      </c>
      <c r="G101" s="28">
        <v>35.17</v>
      </c>
      <c r="H101" s="28">
        <f>G101*F101</f>
        <v>2569.73122</v>
      </c>
    </row>
    <row r="102" spans="1:10" s="25" customFormat="1" ht="12.75">
      <c r="A102"/>
      <c r="B102" s="24" t="s">
        <v>156</v>
      </c>
      <c r="C102" s="21" t="s">
        <v>166</v>
      </c>
      <c r="D102" s="10" t="s">
        <v>167</v>
      </c>
      <c r="E102" s="12" t="s">
        <v>42</v>
      </c>
      <c r="F102" s="28">
        <f>Quantitativo!B69</f>
        <v>3861</v>
      </c>
      <c r="G102" s="33">
        <v>5.96</v>
      </c>
      <c r="H102" s="28">
        <f>G102*F102</f>
        <v>23011.56</v>
      </c>
      <c r="I102"/>
      <c r="J102" s="23"/>
    </row>
    <row r="103" spans="1:10" s="38" customFormat="1" ht="25.5">
      <c r="A103"/>
      <c r="B103" s="24" t="s">
        <v>103</v>
      </c>
      <c r="C103" s="21" t="s">
        <v>168</v>
      </c>
      <c r="D103" s="10" t="s">
        <v>169</v>
      </c>
      <c r="E103" s="12" t="s">
        <v>170</v>
      </c>
      <c r="F103" s="28">
        <f>Quantitativo!B67*2.5</f>
        <v>477.40000000000003</v>
      </c>
      <c r="G103" s="12">
        <v>305.37</v>
      </c>
      <c r="H103" s="28">
        <f>G103*F103</f>
        <v>145783.638</v>
      </c>
      <c r="I103" s="39"/>
      <c r="J103" s="40"/>
    </row>
    <row r="104" spans="2:8" ht="12.75">
      <c r="B104" s="24"/>
      <c r="C104" s="21" t="s">
        <v>171</v>
      </c>
      <c r="D104" s="10" t="s">
        <v>172</v>
      </c>
      <c r="E104" s="12" t="s">
        <v>49</v>
      </c>
      <c r="F104" s="28">
        <f>593.24*0.2</f>
        <v>118.64800000000001</v>
      </c>
      <c r="G104" s="12">
        <v>81.76</v>
      </c>
      <c r="H104" s="28">
        <f>F104*G104</f>
        <v>9700.660480000002</v>
      </c>
    </row>
    <row r="105" spans="2:8" ht="25.5">
      <c r="B105" s="24" t="s">
        <v>173</v>
      </c>
      <c r="C105" s="21" t="s">
        <v>174</v>
      </c>
      <c r="D105" s="10" t="s">
        <v>175</v>
      </c>
      <c r="E105" s="12" t="s">
        <v>42</v>
      </c>
      <c r="F105" s="28">
        <v>17</v>
      </c>
      <c r="G105" s="28">
        <v>99.62</v>
      </c>
      <c r="H105" s="28">
        <f>G105*F105</f>
        <v>1693.54</v>
      </c>
    </row>
    <row r="106" spans="2:9" ht="12.75">
      <c r="B106" s="24" t="s">
        <v>173</v>
      </c>
      <c r="C106" s="21">
        <v>72948</v>
      </c>
      <c r="D106" s="10" t="s">
        <v>176</v>
      </c>
      <c r="E106" s="12" t="s">
        <v>49</v>
      </c>
      <c r="F106" s="28">
        <f>F105*0.1</f>
        <v>1.7000000000000002</v>
      </c>
      <c r="G106" s="12">
        <v>75.04</v>
      </c>
      <c r="H106" s="28">
        <f>G106*F106</f>
        <v>127.56800000000003</v>
      </c>
      <c r="I106" s="15">
        <f>SUM(H87:H107)</f>
        <v>192444.76566</v>
      </c>
    </row>
    <row r="107" spans="2:9" ht="12.75">
      <c r="B107" s="24" t="s">
        <v>156</v>
      </c>
      <c r="C107" s="21">
        <v>72947</v>
      </c>
      <c r="D107" s="10" t="s">
        <v>177</v>
      </c>
      <c r="E107" s="12" t="s">
        <v>42</v>
      </c>
      <c r="F107" s="28">
        <v>75.3</v>
      </c>
      <c r="G107" s="28">
        <v>16.25</v>
      </c>
      <c r="H107" s="28">
        <f>G107*F107</f>
        <v>1223.625</v>
      </c>
      <c r="I107" s="15"/>
    </row>
    <row r="108" spans="2:8" ht="12.75">
      <c r="B108" s="24"/>
      <c r="C108" s="21"/>
      <c r="D108" s="29"/>
      <c r="E108" s="12"/>
      <c r="F108" s="28"/>
      <c r="G108" s="28"/>
      <c r="H108" s="28"/>
    </row>
    <row r="109" spans="1:9" ht="15">
      <c r="A109" s="17"/>
      <c r="B109" s="18" t="s">
        <v>178</v>
      </c>
      <c r="C109" s="7"/>
      <c r="D109" s="18" t="s">
        <v>179</v>
      </c>
      <c r="E109" s="19"/>
      <c r="F109" s="28"/>
      <c r="G109" s="19"/>
      <c r="H109" s="28"/>
      <c r="I109" s="17"/>
    </row>
    <row r="110" spans="2:8" ht="12.75">
      <c r="B110" s="24" t="s">
        <v>180</v>
      </c>
      <c r="C110" s="21"/>
      <c r="D110" s="10" t="s">
        <v>181</v>
      </c>
      <c r="E110" s="12"/>
      <c r="F110" s="28"/>
      <c r="G110" s="28"/>
      <c r="H110" s="28"/>
    </row>
    <row r="111" spans="1:9" ht="25.5">
      <c r="A111" s="30"/>
      <c r="B111" s="31" t="s">
        <v>182</v>
      </c>
      <c r="C111" s="32" t="s">
        <v>183</v>
      </c>
      <c r="D111" s="10" t="s">
        <v>184</v>
      </c>
      <c r="E111" s="33" t="s">
        <v>165</v>
      </c>
      <c r="F111" s="34">
        <v>30</v>
      </c>
      <c r="G111" s="34">
        <v>41.11</v>
      </c>
      <c r="H111" s="34">
        <f>G111*F111</f>
        <v>1233.3</v>
      </c>
      <c r="I111" s="30"/>
    </row>
    <row r="112" spans="1:9" ht="12.75">
      <c r="A112" s="30"/>
      <c r="B112" s="31"/>
      <c r="C112" s="32">
        <v>7752</v>
      </c>
      <c r="D112" s="10" t="s">
        <v>185</v>
      </c>
      <c r="E112" s="33" t="s">
        <v>165</v>
      </c>
      <c r="F112" s="34">
        <v>30</v>
      </c>
      <c r="G112" s="34">
        <v>85.03</v>
      </c>
      <c r="H112" s="34">
        <f>G112*F112</f>
        <v>2550.9</v>
      </c>
      <c r="I112" s="30"/>
    </row>
    <row r="113" spans="1:10" s="17" customFormat="1" ht="15">
      <c r="A113" s="30"/>
      <c r="B113" s="31"/>
      <c r="C113" s="32">
        <v>83622</v>
      </c>
      <c r="D113" s="10" t="s">
        <v>186</v>
      </c>
      <c r="E113" s="33" t="s">
        <v>165</v>
      </c>
      <c r="F113" s="34">
        <v>55</v>
      </c>
      <c r="G113" s="34">
        <v>207.45</v>
      </c>
      <c r="H113" s="34">
        <f>G113*F113</f>
        <v>11409.75</v>
      </c>
      <c r="I113" s="30"/>
      <c r="J113" s="23"/>
    </row>
    <row r="114" spans="2:8" ht="12.75">
      <c r="B114" s="24" t="s">
        <v>182</v>
      </c>
      <c r="C114" s="21"/>
      <c r="D114" s="10" t="s">
        <v>187</v>
      </c>
      <c r="E114" s="28"/>
      <c r="F114" s="28"/>
      <c r="G114" s="28"/>
      <c r="H114" s="28"/>
    </row>
    <row r="115" spans="1:10" s="30" customFormat="1" ht="12.75">
      <c r="A115"/>
      <c r="B115" s="24" t="s">
        <v>182</v>
      </c>
      <c r="C115" s="21" t="s">
        <v>34</v>
      </c>
      <c r="D115" s="10" t="s">
        <v>188</v>
      </c>
      <c r="E115" s="12" t="s">
        <v>49</v>
      </c>
      <c r="F115" s="28">
        <v>12.87</v>
      </c>
      <c r="G115" s="12">
        <v>302.24</v>
      </c>
      <c r="H115" s="28">
        <f>G115*F115</f>
        <v>3889.8288</v>
      </c>
      <c r="I115"/>
      <c r="J115" s="37"/>
    </row>
    <row r="116" spans="1:10" s="30" customFormat="1" ht="12.75">
      <c r="A116"/>
      <c r="B116" s="24" t="s">
        <v>182</v>
      </c>
      <c r="C116" s="21">
        <v>5970</v>
      </c>
      <c r="D116" s="10" t="s">
        <v>127</v>
      </c>
      <c r="E116" s="12" t="s">
        <v>42</v>
      </c>
      <c r="F116" s="28">
        <v>145.08</v>
      </c>
      <c r="G116" s="28">
        <v>42.9</v>
      </c>
      <c r="H116" s="28">
        <f>G116*F116</f>
        <v>6223.932000000001</v>
      </c>
      <c r="I116"/>
      <c r="J116" s="37"/>
    </row>
    <row r="117" spans="1:10" s="30" customFormat="1" ht="25.5">
      <c r="A117"/>
      <c r="B117" s="24" t="s">
        <v>182</v>
      </c>
      <c r="C117" s="21" t="s">
        <v>129</v>
      </c>
      <c r="D117" s="10" t="s">
        <v>189</v>
      </c>
      <c r="E117" s="12" t="s">
        <v>131</v>
      </c>
      <c r="F117" s="28">
        <v>771.1</v>
      </c>
      <c r="G117" s="12">
        <v>6.96</v>
      </c>
      <c r="H117" s="28">
        <f>G117*F117</f>
        <v>5366.856</v>
      </c>
      <c r="I117"/>
      <c r="J117" s="37"/>
    </row>
    <row r="118" spans="2:8" ht="12.75">
      <c r="B118" s="24"/>
      <c r="C118" s="21"/>
      <c r="D118" s="10"/>
      <c r="E118" s="12"/>
      <c r="F118" s="28"/>
      <c r="G118" s="28"/>
      <c r="H118" s="28"/>
    </row>
    <row r="119" spans="2:8" ht="12.75">
      <c r="B119" s="24" t="s">
        <v>190</v>
      </c>
      <c r="C119" s="21"/>
      <c r="D119" s="10" t="s">
        <v>191</v>
      </c>
      <c r="E119" s="12"/>
      <c r="F119" s="28"/>
      <c r="G119" s="28"/>
      <c r="H119" s="28"/>
    </row>
    <row r="120" spans="2:8" ht="12.75">
      <c r="B120" s="24" t="s">
        <v>192</v>
      </c>
      <c r="C120" s="21" t="s">
        <v>193</v>
      </c>
      <c r="D120" s="10" t="s">
        <v>194</v>
      </c>
      <c r="E120" s="12" t="s">
        <v>49</v>
      </c>
      <c r="F120" s="28">
        <f>Quantitativo!B104</f>
        <v>50.634499999999996</v>
      </c>
      <c r="G120" s="28">
        <v>20.14</v>
      </c>
      <c r="H120" s="28">
        <f>G120*F120</f>
        <v>1019.77883</v>
      </c>
    </row>
    <row r="121" spans="2:8" ht="12.75">
      <c r="B121" s="24" t="s">
        <v>195</v>
      </c>
      <c r="C121" s="21" t="s">
        <v>120</v>
      </c>
      <c r="D121" s="10" t="s">
        <v>121</v>
      </c>
      <c r="E121" s="12" t="s">
        <v>49</v>
      </c>
      <c r="F121" s="28">
        <v>1.67</v>
      </c>
      <c r="G121" s="28">
        <v>289.16</v>
      </c>
      <c r="H121" s="28">
        <f>G121*F121</f>
        <v>482.8972</v>
      </c>
    </row>
    <row r="122" spans="2:8" ht="25.5">
      <c r="B122" s="24" t="s">
        <v>196</v>
      </c>
      <c r="C122" s="21" t="s">
        <v>197</v>
      </c>
      <c r="D122" s="10" t="s">
        <v>198</v>
      </c>
      <c r="E122" s="12" t="s">
        <v>61</v>
      </c>
      <c r="F122" s="28">
        <v>1</v>
      </c>
      <c r="G122" s="28">
        <v>1490.66</v>
      </c>
      <c r="H122" s="28">
        <f>G122*F122</f>
        <v>1490.66</v>
      </c>
    </row>
    <row r="123" spans="2:8" ht="38.25">
      <c r="B123" s="24" t="s">
        <v>199</v>
      </c>
      <c r="C123" s="21" t="s">
        <v>34</v>
      </c>
      <c r="D123" s="10" t="s">
        <v>200</v>
      </c>
      <c r="E123" s="12" t="s">
        <v>61</v>
      </c>
      <c r="F123" s="28">
        <v>1</v>
      </c>
      <c r="G123" s="12">
        <v>967.29</v>
      </c>
      <c r="H123" s="28">
        <f>G123*F123</f>
        <v>967.29</v>
      </c>
    </row>
    <row r="124" spans="2:9" ht="12.75">
      <c r="B124" s="24"/>
      <c r="C124" s="21"/>
      <c r="D124" s="10"/>
      <c r="E124" s="12"/>
      <c r="F124" s="28"/>
      <c r="G124" s="28"/>
      <c r="H124" s="28"/>
      <c r="I124" s="15">
        <f>SUM(H111:H123)</f>
        <v>34635.19283</v>
      </c>
    </row>
    <row r="125" spans="1:9" ht="15">
      <c r="A125" s="17"/>
      <c r="B125" s="18" t="s">
        <v>201</v>
      </c>
      <c r="C125" s="7"/>
      <c r="D125" s="18" t="s">
        <v>202</v>
      </c>
      <c r="E125" s="19"/>
      <c r="F125" s="28"/>
      <c r="G125" s="19"/>
      <c r="H125" s="28"/>
      <c r="I125" s="17"/>
    </row>
    <row r="126" spans="2:8" ht="38.25">
      <c r="B126" s="24" t="s">
        <v>203</v>
      </c>
      <c r="C126" s="21" t="s">
        <v>204</v>
      </c>
      <c r="D126" s="10" t="s">
        <v>205</v>
      </c>
      <c r="E126" s="12" t="s">
        <v>61</v>
      </c>
      <c r="F126" s="28">
        <v>5</v>
      </c>
      <c r="G126" s="12">
        <v>156.88</v>
      </c>
      <c r="H126" s="28">
        <f>G126*F126</f>
        <v>784.4</v>
      </c>
    </row>
    <row r="127" spans="2:9" ht="12.75">
      <c r="B127" s="24" t="s">
        <v>206</v>
      </c>
      <c r="C127" s="32">
        <v>83622</v>
      </c>
      <c r="D127" s="10" t="s">
        <v>186</v>
      </c>
      <c r="E127" s="12" t="s">
        <v>165</v>
      </c>
      <c r="F127" s="28">
        <v>57.3</v>
      </c>
      <c r="G127" s="12">
        <v>207.45</v>
      </c>
      <c r="H127" s="28">
        <f>G127*F127</f>
        <v>11886.884999999998</v>
      </c>
      <c r="I127" s="15">
        <f>SUM(H126:H127)</f>
        <v>12671.284999999998</v>
      </c>
    </row>
    <row r="128" spans="2:9" ht="15.75">
      <c r="B128" s="24"/>
      <c r="C128" s="21"/>
      <c r="D128" s="35"/>
      <c r="E128" s="12"/>
      <c r="F128" s="28"/>
      <c r="G128" s="28"/>
      <c r="H128" s="28"/>
      <c r="I128" s="15"/>
    </row>
    <row r="129" spans="1:10" s="17" customFormat="1" ht="15">
      <c r="A129"/>
      <c r="B129" s="24" t="s">
        <v>207</v>
      </c>
      <c r="C129" s="21"/>
      <c r="D129" s="41" t="s">
        <v>208</v>
      </c>
      <c r="E129" s="12"/>
      <c r="F129" s="28"/>
      <c r="G129" s="28"/>
      <c r="H129" s="28"/>
      <c r="I129" s="15"/>
      <c r="J129" s="23"/>
    </row>
    <row r="130" spans="2:9" ht="12.75">
      <c r="B130" s="24" t="s">
        <v>209</v>
      </c>
      <c r="C130" s="21">
        <v>6115</v>
      </c>
      <c r="D130" s="10" t="s">
        <v>210</v>
      </c>
      <c r="E130" s="12" t="s">
        <v>26</v>
      </c>
      <c r="F130" s="28">
        <v>352</v>
      </c>
      <c r="G130" s="28">
        <v>7.39</v>
      </c>
      <c r="H130" s="28">
        <f>G130*F130</f>
        <v>2601.2799999999997</v>
      </c>
      <c r="I130" s="15"/>
    </row>
    <row r="131" spans="2:9" ht="12.75">
      <c r="B131" s="24" t="s">
        <v>211</v>
      </c>
      <c r="C131" s="21" t="s">
        <v>34</v>
      </c>
      <c r="D131" s="10" t="s">
        <v>212</v>
      </c>
      <c r="E131" s="12" t="s">
        <v>71</v>
      </c>
      <c r="F131" s="28">
        <v>30</v>
      </c>
      <c r="G131" s="12">
        <v>160</v>
      </c>
      <c r="H131" s="28">
        <f>G131*F131</f>
        <v>4800</v>
      </c>
      <c r="I131" s="15">
        <f>SUM(H130:H132)</f>
        <v>19051.24</v>
      </c>
    </row>
    <row r="132" spans="2:9" ht="25.5">
      <c r="B132" s="24"/>
      <c r="C132" s="21" t="s">
        <v>213</v>
      </c>
      <c r="D132" s="42" t="s">
        <v>214</v>
      </c>
      <c r="E132" s="12" t="s">
        <v>42</v>
      </c>
      <c r="F132" s="28">
        <v>276</v>
      </c>
      <c r="G132" s="28">
        <v>42.21</v>
      </c>
      <c r="H132" s="28">
        <f>G132*F132</f>
        <v>11649.960000000001</v>
      </c>
      <c r="I132" s="15"/>
    </row>
    <row r="133" spans="2:8" ht="12.75">
      <c r="B133" s="29"/>
      <c r="C133" s="43"/>
      <c r="D133" s="29"/>
      <c r="E133" s="43"/>
      <c r="F133" s="29"/>
      <c r="G133" s="29"/>
      <c r="H133" s="44"/>
    </row>
    <row r="134" spans="6:9" ht="12.75">
      <c r="F134" s="45" t="s">
        <v>215</v>
      </c>
      <c r="G134" s="46"/>
      <c r="H134" s="47">
        <f>SUM(H13:H133)</f>
        <v>400421.23546447174</v>
      </c>
      <c r="I134" s="48">
        <f>SUM(I11:I131)</f>
        <v>400421.2354644715</v>
      </c>
    </row>
    <row r="135" spans="6:8" ht="12.75">
      <c r="F135" s="45" t="s">
        <v>216</v>
      </c>
      <c r="G135" s="49">
        <v>0.31079999999999997</v>
      </c>
      <c r="H135" s="47">
        <f>H134*G135</f>
        <v>124450.91998235781</v>
      </c>
    </row>
    <row r="136" spans="6:8" ht="12.75">
      <c r="F136" s="50" t="s">
        <v>217</v>
      </c>
      <c r="G136" s="51"/>
      <c r="H136" s="52">
        <f>H134+H135</f>
        <v>524872.1554468295</v>
      </c>
    </row>
    <row r="138" ht="12.75">
      <c r="D138" s="53" t="s">
        <v>218</v>
      </c>
    </row>
    <row r="139" ht="12.75">
      <c r="D139" s="45" t="s">
        <v>219</v>
      </c>
    </row>
    <row r="140" spans="4:10" ht="26.25" customHeight="1">
      <c r="D140" s="45" t="s">
        <v>220</v>
      </c>
      <c r="J140" s="54">
        <f>'BDI RS'!C17</f>
        <v>24.022239239503573</v>
      </c>
    </row>
    <row r="141" spans="4:10" ht="12.75">
      <c r="D141" s="45" t="s">
        <v>221</v>
      </c>
      <c r="J141" s="2">
        <f>J140/100</f>
        <v>0.24022239239503573</v>
      </c>
    </row>
    <row r="142" ht="12.75">
      <c r="D142" s="45" t="s">
        <v>222</v>
      </c>
    </row>
    <row r="147" ht="12.75">
      <c r="D147">
        <f>21.6*22</f>
        <v>475.20000000000005</v>
      </c>
    </row>
  </sheetData>
  <sheetProtection selectLockedCells="1" selectUnlockedCells="1"/>
  <mergeCells count="2">
    <mergeCell ref="A7:H7"/>
    <mergeCell ref="A8:H8"/>
  </mergeCells>
  <printOptions/>
  <pageMargins left="0.7875" right="0.7402777777777778" top="0.4263888888888889" bottom="1.04375" header="0.5118055555555555" footer="0.31527777777777777"/>
  <pageSetup horizontalDpi="300" verticalDpi="300" orientation="landscape" paperSize="9" scale="85" r:id="rId2"/>
  <headerFooter alignWithMargins="0">
    <oddFooter>&amp;LElaborado por: 
                      1° Ten QOENG Luiz Guilherme S. Gonçalves
                                        CREA ES 014046/D
                  &amp;CRevisor:
                                   Júlio César Fréz
                                   C</oddFooter>
  </headerFooter>
  <rowBreaks count="1" manualBreakCount="1">
    <brk id="1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75" zoomScaleSheetLayoutView="75" workbookViewId="0" topLeftCell="A1">
      <selection activeCell="B23" sqref="B23"/>
    </sheetView>
  </sheetViews>
  <sheetFormatPr defaultColWidth="9.140625" defaultRowHeight="12.75"/>
  <cols>
    <col min="1" max="1" width="12.421875" style="0" customWidth="1"/>
    <col min="2" max="2" width="45.421875" style="0" customWidth="1"/>
    <col min="3" max="3" width="13.28125" style="0" customWidth="1"/>
    <col min="4" max="6" width="14.28125" style="0" customWidth="1"/>
    <col min="7" max="7" width="14.421875" style="0" customWidth="1"/>
  </cols>
  <sheetData>
    <row r="2" ht="14.25">
      <c r="B2" s="3" t="s">
        <v>0</v>
      </c>
    </row>
    <row r="3" ht="14.25">
      <c r="B3" s="4" t="s">
        <v>1</v>
      </c>
    </row>
    <row r="4" ht="14.25">
      <c r="B4" s="4" t="s">
        <v>2</v>
      </c>
    </row>
    <row r="5" ht="14.25">
      <c r="B5" s="3" t="s">
        <v>3</v>
      </c>
    </row>
    <row r="10" spans="1:7" ht="12.75">
      <c r="A10" s="157" t="s">
        <v>223</v>
      </c>
      <c r="B10" s="157"/>
      <c r="C10" s="157"/>
      <c r="D10" s="157"/>
      <c r="E10" s="157"/>
      <c r="F10" s="157"/>
      <c r="G10" s="157"/>
    </row>
    <row r="11" spans="1:7" ht="12.75">
      <c r="A11" s="157"/>
      <c r="B11" s="157"/>
      <c r="C11" s="157"/>
      <c r="D11" s="157"/>
      <c r="E11" s="157"/>
      <c r="F11" s="157"/>
      <c r="G11" s="157"/>
    </row>
    <row r="14" spans="1:7" ht="12.75">
      <c r="A14" s="55" t="s">
        <v>224</v>
      </c>
      <c r="B14" s="56" t="s">
        <v>8</v>
      </c>
      <c r="C14" s="56" t="s">
        <v>225</v>
      </c>
      <c r="D14" s="56" t="s">
        <v>226</v>
      </c>
      <c r="E14" s="56" t="s">
        <v>227</v>
      </c>
      <c r="F14" s="56" t="s">
        <v>228</v>
      </c>
      <c r="G14" s="57" t="s">
        <v>229</v>
      </c>
    </row>
    <row r="15" spans="1:9" ht="12.75">
      <c r="A15" s="158">
        <v>1</v>
      </c>
      <c r="B15" s="159"/>
      <c r="C15" s="58">
        <f>$G15*C16</f>
        <v>21583.304000000004</v>
      </c>
      <c r="D15" s="58">
        <f>$G15*D16</f>
        <v>10791.652000000002</v>
      </c>
      <c r="E15" s="58">
        <f>$G15*E16</f>
        <v>10791.652000000002</v>
      </c>
      <c r="F15" s="58">
        <f>$G15*F16</f>
        <v>10791.652000000002</v>
      </c>
      <c r="G15" s="160">
        <f>Planilha!I26</f>
        <v>53958.26</v>
      </c>
      <c r="I15">
        <f>C15+D15+E15+F15</f>
        <v>53958.26000000001</v>
      </c>
    </row>
    <row r="16" spans="1:7" ht="12.75">
      <c r="A16" s="158"/>
      <c r="B16" s="159"/>
      <c r="C16" s="59">
        <v>0.4</v>
      </c>
      <c r="D16" s="59">
        <v>0.2</v>
      </c>
      <c r="E16" s="59">
        <v>0.2</v>
      </c>
      <c r="F16" s="59">
        <v>0.2</v>
      </c>
      <c r="G16" s="160"/>
    </row>
    <row r="17" spans="1:9" ht="12.75">
      <c r="A17" s="158">
        <v>2</v>
      </c>
      <c r="B17" s="161" t="str">
        <f>Planilha!D29</f>
        <v>SERVIÇOS PRELIMINARES</v>
      </c>
      <c r="C17" s="58">
        <f>$G17*C18</f>
        <v>36362.66420575</v>
      </c>
      <c r="D17" s="58">
        <f>$G17*D18</f>
        <v>36362.66420575</v>
      </c>
      <c r="E17" s="60"/>
      <c r="F17" s="60"/>
      <c r="G17" s="162">
        <f>Planilha!I72</f>
        <v>72725.3284115</v>
      </c>
      <c r="I17">
        <f aca="true" t="shared" si="0" ref="I17:I26">C17+D17+E17+F17</f>
        <v>72725.3284115</v>
      </c>
    </row>
    <row r="18" spans="1:9" ht="12.75">
      <c r="A18" s="158"/>
      <c r="B18" s="161"/>
      <c r="C18" s="61">
        <v>0.5</v>
      </c>
      <c r="D18" s="61">
        <v>0.5</v>
      </c>
      <c r="E18" s="61"/>
      <c r="F18" s="61"/>
      <c r="G18" s="162"/>
      <c r="I18" s="62">
        <f t="shared" si="0"/>
        <v>1</v>
      </c>
    </row>
    <row r="19" spans="1:9" ht="12.75">
      <c r="A19" s="158">
        <v>3</v>
      </c>
      <c r="B19" s="161" t="str">
        <f>Planilha!D74</f>
        <v>FUNDAÇÕES E ESTRUTURAS</v>
      </c>
      <c r="C19" s="60"/>
      <c r="D19" s="58">
        <f>$G19*D20</f>
        <v>7467.581781485762</v>
      </c>
      <c r="E19" s="58">
        <f>$G19*E20</f>
        <v>7467.581781485762</v>
      </c>
      <c r="F19" s="60"/>
      <c r="G19" s="162">
        <f>Planilha!I83</f>
        <v>14935.163562971524</v>
      </c>
      <c r="I19">
        <f t="shared" si="0"/>
        <v>14935.163562971524</v>
      </c>
    </row>
    <row r="20" spans="1:12" ht="12.75">
      <c r="A20" s="158"/>
      <c r="B20" s="161"/>
      <c r="C20" s="61"/>
      <c r="D20" s="61">
        <v>0.5</v>
      </c>
      <c r="E20" s="61">
        <v>0.5</v>
      </c>
      <c r="F20" s="61"/>
      <c r="G20" s="162"/>
      <c r="I20" s="62">
        <f t="shared" si="0"/>
        <v>1</v>
      </c>
      <c r="L20" s="63">
        <f>'BDI RS'!C17</f>
        <v>24.022239239503573</v>
      </c>
    </row>
    <row r="21" spans="1:12" ht="12.75">
      <c r="A21" s="158">
        <v>4</v>
      </c>
      <c r="B21" s="161" t="str">
        <f>Planilha!D84</f>
        <v>ARQUITETURA E ELEMENTOS DE URBANISMO</v>
      </c>
      <c r="C21" s="60"/>
      <c r="D21" s="58">
        <f>$G21*D22</f>
        <v>48111.191415</v>
      </c>
      <c r="E21" s="58">
        <f>$G21*E22</f>
        <v>115466.859396</v>
      </c>
      <c r="F21" s="58">
        <f>$G21*F22</f>
        <v>28866.714849</v>
      </c>
      <c r="G21" s="162">
        <f>Planilha!I106</f>
        <v>192444.76566</v>
      </c>
      <c r="I21">
        <f t="shared" si="0"/>
        <v>192444.76566</v>
      </c>
      <c r="L21">
        <v>1.3108</v>
      </c>
    </row>
    <row r="22" spans="1:9" ht="12.75">
      <c r="A22" s="158"/>
      <c r="B22" s="161"/>
      <c r="C22" s="61"/>
      <c r="D22" s="61">
        <v>0.25</v>
      </c>
      <c r="E22" s="61">
        <v>0.6</v>
      </c>
      <c r="F22" s="61">
        <v>0.15</v>
      </c>
      <c r="G22" s="162"/>
      <c r="I22" s="62">
        <f t="shared" si="0"/>
        <v>1</v>
      </c>
    </row>
    <row r="23" spans="1:9" ht="12.75">
      <c r="A23" s="158">
        <v>5</v>
      </c>
      <c r="B23" s="161" t="str">
        <f>Planilha!D109</f>
        <v>INSTALAÇÕES HIDRAULICAS E SANITÁRIAS</v>
      </c>
      <c r="C23" s="60"/>
      <c r="D23" s="58">
        <f>$G23*D24</f>
        <v>6927.038566</v>
      </c>
      <c r="E23" s="58">
        <f>$G23*E24</f>
        <v>24244.634981</v>
      </c>
      <c r="F23" s="58">
        <f>$G23*F24</f>
        <v>3463.519283</v>
      </c>
      <c r="G23" s="162">
        <f>Planilha!I124</f>
        <v>34635.19283</v>
      </c>
      <c r="I23">
        <f t="shared" si="0"/>
        <v>34635.19283</v>
      </c>
    </row>
    <row r="24" spans="1:9" ht="12.75">
      <c r="A24" s="158"/>
      <c r="B24" s="161"/>
      <c r="C24" s="61"/>
      <c r="D24" s="61">
        <v>0.2</v>
      </c>
      <c r="E24" s="61">
        <v>0.7</v>
      </c>
      <c r="F24" s="61">
        <v>0.1</v>
      </c>
      <c r="G24" s="162"/>
      <c r="I24" s="62">
        <f t="shared" si="0"/>
        <v>0.9999999999999999</v>
      </c>
    </row>
    <row r="25" spans="1:9" ht="12.75">
      <c r="A25" s="158">
        <v>6</v>
      </c>
      <c r="B25" s="161" t="str">
        <f>Planilha!D125</f>
        <v>INSTALAÇÕES ELÉTRICAS</v>
      </c>
      <c r="C25" s="60"/>
      <c r="D25" s="64"/>
      <c r="E25" s="58">
        <f>$G25*E26</f>
        <v>1267.1284999999998</v>
      </c>
      <c r="F25" s="58">
        <f>$G25*F26</f>
        <v>11404.1565</v>
      </c>
      <c r="G25" s="162">
        <f>Planilha!I127</f>
        <v>12671.284999999998</v>
      </c>
      <c r="I25">
        <f t="shared" si="0"/>
        <v>12671.285</v>
      </c>
    </row>
    <row r="26" spans="1:9" ht="12.75">
      <c r="A26" s="158"/>
      <c r="B26" s="161"/>
      <c r="C26" s="61"/>
      <c r="D26" s="61"/>
      <c r="E26" s="61">
        <v>0.1</v>
      </c>
      <c r="F26" s="61">
        <v>0.9</v>
      </c>
      <c r="G26" s="162"/>
      <c r="I26" s="62">
        <f t="shared" si="0"/>
        <v>1</v>
      </c>
    </row>
    <row r="27" spans="1:7" ht="12.75">
      <c r="A27" s="158">
        <v>7</v>
      </c>
      <c r="B27" s="161" t="s">
        <v>208</v>
      </c>
      <c r="C27" s="58">
        <f>$G27*C28</f>
        <v>4762.81</v>
      </c>
      <c r="D27" s="58">
        <f>$G27*D28</f>
        <v>4762.81</v>
      </c>
      <c r="E27" s="58">
        <f>$G27*E28</f>
        <v>4762.81</v>
      </c>
      <c r="F27" s="58">
        <f>$G27*F28</f>
        <v>4762.81</v>
      </c>
      <c r="G27" s="162">
        <f>Planilha!I131</f>
        <v>19051.24</v>
      </c>
    </row>
    <row r="28" spans="1:7" ht="12.75">
      <c r="A28" s="158"/>
      <c r="B28" s="161"/>
      <c r="C28" s="59">
        <v>0.25</v>
      </c>
      <c r="D28" s="59">
        <v>0.25</v>
      </c>
      <c r="E28" s="59">
        <v>0.25</v>
      </c>
      <c r="F28" s="59">
        <v>0.25</v>
      </c>
      <c r="G28" s="162"/>
    </row>
    <row r="29" spans="1:9" ht="12.75">
      <c r="A29" s="163" t="s">
        <v>230</v>
      </c>
      <c r="B29" s="163"/>
      <c r="C29" s="65">
        <f>C17+C19+C21+C23+C25+C15+C27</f>
        <v>62708.77820575</v>
      </c>
      <c r="D29" s="65">
        <f>D17+D19+D21+D23+D25+D15+D27</f>
        <v>114422.93796823575</v>
      </c>
      <c r="E29" s="65">
        <f>E17+E19+E21+E23+E25+E15+E27</f>
        <v>164000.66665848574</v>
      </c>
      <c r="F29" s="65">
        <f>F17+F19+F21+F23+F25+F15+F27</f>
        <v>59288.852632</v>
      </c>
      <c r="G29" s="162">
        <f>SUM(G15:G28)</f>
        <v>400421.2354644715</v>
      </c>
      <c r="I29">
        <f>C29+D29+E29+F29</f>
        <v>400421.2354644715</v>
      </c>
    </row>
    <row r="30" spans="1:7" ht="12.75">
      <c r="A30" s="163" t="s">
        <v>231</v>
      </c>
      <c r="B30" s="163"/>
      <c r="C30" s="65">
        <f>C29</f>
        <v>62708.77820575</v>
      </c>
      <c r="D30" s="65">
        <f>C30+D29</f>
        <v>177131.71617398574</v>
      </c>
      <c r="E30" s="65">
        <f>D30+E29</f>
        <v>341132.3828324715</v>
      </c>
      <c r="F30" s="65">
        <f>E30+F29</f>
        <v>400421.2354644715</v>
      </c>
      <c r="G30" s="162"/>
    </row>
    <row r="31" spans="1:7" ht="12.75">
      <c r="A31" s="164" t="s">
        <v>232</v>
      </c>
      <c r="B31" s="164"/>
      <c r="C31" s="66">
        <f>C30*$L21</f>
        <v>82198.6664720971</v>
      </c>
      <c r="D31" s="66">
        <f>D30*$L21</f>
        <v>232184.2535608605</v>
      </c>
      <c r="E31" s="66">
        <f>E30*$L21</f>
        <v>447156.32741680363</v>
      </c>
      <c r="F31" s="66">
        <f>F30*$L21</f>
        <v>524872.1554468293</v>
      </c>
      <c r="G31" s="67">
        <f>G29*L21</f>
        <v>524872.1554468293</v>
      </c>
    </row>
  </sheetData>
  <sheetProtection selectLockedCells="1" selectUnlockedCells="1"/>
  <mergeCells count="26">
    <mergeCell ref="A29:B29"/>
    <mergeCell ref="G29:G30"/>
    <mergeCell ref="A30:B30"/>
    <mergeCell ref="A31:B31"/>
    <mergeCell ref="A25:A26"/>
    <mergeCell ref="B25:B26"/>
    <mergeCell ref="G25:G26"/>
    <mergeCell ref="A27:A28"/>
    <mergeCell ref="B27:B28"/>
    <mergeCell ref="G27:G28"/>
    <mergeCell ref="A21:A22"/>
    <mergeCell ref="B21:B22"/>
    <mergeCell ref="G21:G22"/>
    <mergeCell ref="A23:A24"/>
    <mergeCell ref="B23:B24"/>
    <mergeCell ref="G23:G24"/>
    <mergeCell ref="A17:A18"/>
    <mergeCell ref="B17:B18"/>
    <mergeCell ref="G17:G18"/>
    <mergeCell ref="A19:A20"/>
    <mergeCell ref="B19:B20"/>
    <mergeCell ref="G19:G20"/>
    <mergeCell ref="A10:G11"/>
    <mergeCell ref="A15:A16"/>
    <mergeCell ref="B15:B16"/>
    <mergeCell ref="G15:G16"/>
  </mergeCells>
  <printOptions/>
  <pageMargins left="0.7875" right="0.7875" top="0.9847222222222223" bottom="0.9847222222222223" header="0.49236111111111114" footer="0.49236111111111114"/>
  <pageSetup horizontalDpi="300" verticalDpi="300" orientation="landscape" paperSize="9" r:id="rId2"/>
  <headerFooter alignWithMargins="0">
    <oddHeader>&amp;CPágina &amp;P de &amp;N</oddHeader>
    <oddFooter xml:space="preserve">&amp;LElaborado por: 
                      1° Ten QOENG Luiz Guilherme S. Gonçalves
                                        CREA ES 014046/D
         &amp;CRevisor:
                                   Júlio César Fréz
                      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tabSelected="1" view="pageBreakPreview" zoomScale="75" zoomScaleSheetLayoutView="75" workbookViewId="0" topLeftCell="A1">
      <selection activeCell="F27" sqref="F27"/>
    </sheetView>
  </sheetViews>
  <sheetFormatPr defaultColWidth="9.140625" defaultRowHeight="12.75"/>
  <cols>
    <col min="1" max="1" width="12.421875" style="0" customWidth="1"/>
    <col min="2" max="2" width="45.421875" style="0" customWidth="1"/>
    <col min="3" max="3" width="13.28125" style="0" customWidth="1"/>
    <col min="4" max="6" width="14.28125" style="0" customWidth="1"/>
    <col min="7" max="7" width="14.421875" style="0" customWidth="1"/>
  </cols>
  <sheetData>
    <row r="2" ht="14.25">
      <c r="B2" s="3" t="s">
        <v>0</v>
      </c>
    </row>
    <row r="3" ht="14.25">
      <c r="B3" s="4" t="s">
        <v>1</v>
      </c>
    </row>
    <row r="4" ht="14.25">
      <c r="B4" s="4" t="s">
        <v>2</v>
      </c>
    </row>
    <row r="5" ht="14.25">
      <c r="B5" s="3" t="s">
        <v>3</v>
      </c>
    </row>
    <row r="7" spans="1:7" ht="12.75">
      <c r="A7" s="157" t="s">
        <v>233</v>
      </c>
      <c r="B7" s="157"/>
      <c r="C7" s="157"/>
      <c r="D7" s="157"/>
      <c r="E7" s="157"/>
      <c r="F7" s="157"/>
      <c r="G7" s="157"/>
    </row>
    <row r="8" spans="1:7" ht="12.75">
      <c r="A8" s="157"/>
      <c r="B8" s="157"/>
      <c r="C8" s="157"/>
      <c r="D8" s="157"/>
      <c r="E8" s="157"/>
      <c r="F8" s="157"/>
      <c r="G8" s="157"/>
    </row>
    <row r="10" spans="1:8" ht="17.25" customHeight="1">
      <c r="A10" s="165" t="s">
        <v>234</v>
      </c>
      <c r="B10" s="165"/>
      <c r="C10" s="165"/>
      <c r="D10" s="165"/>
      <c r="E10" s="165"/>
      <c r="F10" s="165"/>
      <c r="G10" s="165"/>
      <c r="H10" s="165"/>
    </row>
    <row r="11" spans="1:8" ht="17.25" customHeight="1">
      <c r="A11" s="165" t="s">
        <v>235</v>
      </c>
      <c r="B11" s="165"/>
      <c r="C11" s="165"/>
      <c r="D11" s="165"/>
      <c r="E11" s="165"/>
      <c r="F11" s="165"/>
      <c r="G11" s="165"/>
      <c r="H11" s="165"/>
    </row>
    <row r="12" spans="1:8" ht="15.75">
      <c r="A12" s="68"/>
      <c r="B12" s="69"/>
      <c r="C12" s="68"/>
      <c r="D12" s="70"/>
      <c r="E12" s="68"/>
      <c r="F12" s="71"/>
      <c r="G12" s="72"/>
      <c r="H12" s="73"/>
    </row>
    <row r="13" spans="1:8" ht="15.75">
      <c r="A13" s="68"/>
      <c r="B13" s="69"/>
      <c r="C13" s="68"/>
      <c r="D13" s="70"/>
      <c r="E13" s="68"/>
      <c r="F13" s="71"/>
      <c r="G13" s="72"/>
      <c r="H13" s="73"/>
    </row>
    <row r="14" spans="1:8" ht="15.75">
      <c r="A14" s="68"/>
      <c r="B14" s="69"/>
      <c r="C14" s="68"/>
      <c r="D14" s="70"/>
      <c r="E14" s="68"/>
      <c r="F14" s="71"/>
      <c r="G14" s="72"/>
      <c r="H14" s="73"/>
    </row>
    <row r="15" spans="1:8" ht="15.75">
      <c r="A15" s="68"/>
      <c r="B15" s="69"/>
      <c r="C15" s="68"/>
      <c r="D15" s="70"/>
      <c r="E15" s="68"/>
      <c r="F15" s="71"/>
      <c r="G15" s="72"/>
      <c r="H15" s="73"/>
    </row>
    <row r="16" spans="1:8" ht="15.75">
      <c r="A16" s="68"/>
      <c r="B16" s="69"/>
      <c r="C16" s="68"/>
      <c r="D16" s="70"/>
      <c r="E16" s="68"/>
      <c r="F16" s="71"/>
      <c r="G16" s="72"/>
      <c r="H16" s="73"/>
    </row>
    <row r="17" spans="1:8" ht="15.75">
      <c r="A17" s="68"/>
      <c r="B17" s="69"/>
      <c r="C17" s="68"/>
      <c r="D17" s="70"/>
      <c r="E17" s="68"/>
      <c r="F17" s="71"/>
      <c r="G17" s="72"/>
      <c r="H17" s="73"/>
    </row>
    <row r="18" spans="1:8" ht="15.75">
      <c r="A18" s="68"/>
      <c r="B18" s="69"/>
      <c r="C18" s="68"/>
      <c r="D18" s="70"/>
      <c r="E18" s="68"/>
      <c r="F18" s="71"/>
      <c r="G18" s="72"/>
      <c r="H18" s="73"/>
    </row>
    <row r="19" spans="1:8" ht="15.75">
      <c r="A19" s="68"/>
      <c r="B19" s="69"/>
      <c r="C19" s="68"/>
      <c r="D19" s="70"/>
      <c r="E19" s="68"/>
      <c r="F19" s="71"/>
      <c r="G19" s="72"/>
      <c r="H19" s="73"/>
    </row>
    <row r="20" spans="1:8" ht="15.75">
      <c r="A20" s="68"/>
      <c r="B20" s="69"/>
      <c r="C20" s="68"/>
      <c r="D20" s="70"/>
      <c r="E20" s="68"/>
      <c r="F20" s="71"/>
      <c r="G20" s="72"/>
      <c r="H20" s="73"/>
    </row>
    <row r="21" spans="1:8" ht="15.75">
      <c r="A21" s="68"/>
      <c r="B21" s="69"/>
      <c r="C21" s="68"/>
      <c r="D21" s="70"/>
      <c r="E21" s="68"/>
      <c r="F21" s="71"/>
      <c r="G21" s="72"/>
      <c r="H21" s="73"/>
    </row>
    <row r="22" spans="1:8" ht="12.75">
      <c r="A22" s="74" t="s">
        <v>236</v>
      </c>
      <c r="B22" s="75" t="s">
        <v>237</v>
      </c>
      <c r="C22" s="76"/>
      <c r="D22" s="76"/>
      <c r="E22" s="77" t="s">
        <v>238</v>
      </c>
      <c r="F22" s="78">
        <v>5</v>
      </c>
      <c r="G22" s="79"/>
      <c r="H22" s="80"/>
    </row>
    <row r="23" spans="1:8" ht="12.75">
      <c r="A23" s="81" t="s">
        <v>239</v>
      </c>
      <c r="B23" s="82" t="s">
        <v>240</v>
      </c>
      <c r="E23" s="79" t="s">
        <v>238</v>
      </c>
      <c r="F23" s="83">
        <v>1.5</v>
      </c>
      <c r="G23" s="79"/>
      <c r="H23" s="80"/>
    </row>
    <row r="24" spans="1:8" ht="12.75">
      <c r="A24" s="84"/>
      <c r="B24" s="82" t="s">
        <v>241</v>
      </c>
      <c r="E24" s="79" t="s">
        <v>238</v>
      </c>
      <c r="F24" s="83">
        <v>5</v>
      </c>
      <c r="G24" s="79"/>
      <c r="H24" s="80"/>
    </row>
    <row r="25" spans="1:8" ht="12.75">
      <c r="A25" s="84"/>
      <c r="B25" s="82" t="s">
        <v>242</v>
      </c>
      <c r="E25" s="79" t="s">
        <v>238</v>
      </c>
      <c r="F25" s="83">
        <v>7</v>
      </c>
      <c r="G25" s="79"/>
      <c r="H25" s="80"/>
    </row>
    <row r="26" spans="1:8" ht="12.75">
      <c r="A26" s="84"/>
      <c r="B26" s="82" t="s">
        <v>243</v>
      </c>
      <c r="E26" s="79" t="s">
        <v>238</v>
      </c>
      <c r="F26" s="85">
        <v>8.65</v>
      </c>
      <c r="G26" s="79"/>
      <c r="H26" s="86"/>
    </row>
    <row r="27" spans="1:8" ht="12.75">
      <c r="A27" s="84"/>
      <c r="B27" s="82"/>
      <c r="E27" s="80"/>
      <c r="F27" s="85"/>
      <c r="G27" s="80"/>
      <c r="H27" s="86"/>
    </row>
    <row r="28" spans="1:8" ht="18">
      <c r="A28" s="87"/>
      <c r="B28" s="88"/>
      <c r="C28" s="89"/>
      <c r="D28" s="89"/>
      <c r="E28" s="90" t="s">
        <v>244</v>
      </c>
      <c r="F28" s="91">
        <v>31.08</v>
      </c>
      <c r="G28" s="92"/>
      <c r="H28" s="93"/>
    </row>
    <row r="29" spans="1:8" ht="15.75">
      <c r="A29" s="68"/>
      <c r="B29" s="69"/>
      <c r="C29" s="94"/>
      <c r="D29" s="82"/>
      <c r="E29" s="80"/>
      <c r="F29" s="86"/>
      <c r="G29" s="72"/>
      <c r="H29" s="73"/>
    </row>
    <row r="30" spans="1:6" ht="15.75">
      <c r="A30" s="94"/>
      <c r="B30" s="95" t="s">
        <v>245</v>
      </c>
      <c r="C30" s="29"/>
      <c r="D30" s="96"/>
      <c r="E30" s="97"/>
      <c r="F30" s="98"/>
    </row>
    <row r="31" spans="1:6" ht="15.75">
      <c r="A31" s="99"/>
      <c r="B31" s="166" t="s">
        <v>246</v>
      </c>
      <c r="C31" s="166"/>
      <c r="D31" s="100" t="s">
        <v>247</v>
      </c>
      <c r="E31" s="96" t="s">
        <v>238</v>
      </c>
      <c r="F31" s="101">
        <v>3</v>
      </c>
    </row>
    <row r="32" spans="1:6" ht="15.75">
      <c r="A32" s="99"/>
      <c r="B32" s="166"/>
      <c r="C32" s="166"/>
      <c r="D32" s="100" t="s">
        <v>248</v>
      </c>
      <c r="E32" s="96" t="s">
        <v>238</v>
      </c>
      <c r="F32" s="101">
        <v>5</v>
      </c>
    </row>
    <row r="33" spans="1:6" ht="15.75">
      <c r="A33" s="99"/>
      <c r="B33" s="166"/>
      <c r="C33" s="166"/>
      <c r="D33" s="100" t="s">
        <v>249</v>
      </c>
      <c r="E33" s="96" t="s">
        <v>238</v>
      </c>
      <c r="F33" s="101">
        <v>0.65</v>
      </c>
    </row>
    <row r="34" spans="1:6" ht="15.75">
      <c r="A34" s="99"/>
      <c r="B34" s="166"/>
      <c r="C34" s="166"/>
      <c r="D34" s="100" t="s">
        <v>250</v>
      </c>
      <c r="E34" s="96" t="s">
        <v>238</v>
      </c>
      <c r="F34" s="101">
        <v>2</v>
      </c>
    </row>
    <row r="35" spans="1:8" ht="15.75">
      <c r="A35" s="68"/>
      <c r="B35" s="69"/>
      <c r="C35" s="68"/>
      <c r="D35" s="70"/>
      <c r="E35" s="80"/>
      <c r="F35" s="71"/>
      <c r="G35" s="72"/>
      <c r="H35" s="73"/>
    </row>
    <row r="36" spans="1:8" ht="17.25" customHeight="1">
      <c r="A36" s="68"/>
      <c r="B36" s="167" t="s">
        <v>251</v>
      </c>
      <c r="C36" s="167"/>
      <c r="D36" s="167"/>
      <c r="E36" s="167"/>
      <c r="F36" s="167"/>
      <c r="G36" s="167"/>
      <c r="H36" s="167"/>
    </row>
    <row r="37" spans="1:8" ht="17.25" customHeight="1">
      <c r="A37" s="68"/>
      <c r="B37" s="168" t="s">
        <v>252</v>
      </c>
      <c r="C37" s="168"/>
      <c r="D37" s="168"/>
      <c r="E37" s="168"/>
      <c r="F37" s="168"/>
      <c r="G37" s="168"/>
      <c r="H37" s="168"/>
    </row>
  </sheetData>
  <sheetProtection selectLockedCells="1" selectUnlockedCells="1"/>
  <mergeCells count="6">
    <mergeCell ref="B36:H36"/>
    <mergeCell ref="B37:H37"/>
    <mergeCell ref="A7:G8"/>
    <mergeCell ref="A10:H10"/>
    <mergeCell ref="A11:H11"/>
    <mergeCell ref="B31:C34"/>
  </mergeCells>
  <printOptions/>
  <pageMargins left="0.7875" right="0.7875" top="0.8861111111111111" bottom="1.386111111111111" header="0.7875" footer="0.7875"/>
  <pageSetup horizontalDpi="300" verticalDpi="300" orientation="landscape" paperSize="9" scale="70" r:id="rId2"/>
  <headerFooter alignWithMargins="0">
    <oddFooter>&amp;LElaborado por: 
                      1° Ten QOENG Luiz Guilherme S. Gonçalves
                                        CREA ES 014046/D&amp;CRevisor:
                                   Júlio César Fréz
                                   CREA PR 98435/D&amp;R&amp;"T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75" zoomScaleSheetLayoutView="75" workbookViewId="0" topLeftCell="A1">
      <selection activeCell="G67" sqref="G67"/>
    </sheetView>
  </sheetViews>
  <sheetFormatPr defaultColWidth="9.140625" defaultRowHeight="12.75"/>
  <cols>
    <col min="1" max="1" width="23.8515625" style="0" customWidth="1"/>
    <col min="3" max="3" width="12.00390625" style="0" customWidth="1"/>
    <col min="9" max="9" width="12.00390625" style="0" customWidth="1"/>
    <col min="11" max="11" width="23.8515625" style="0" customWidth="1"/>
  </cols>
  <sheetData>
    <row r="1" ht="12.75">
      <c r="A1" t="s">
        <v>253</v>
      </c>
    </row>
    <row r="4" ht="15.75">
      <c r="A4" s="102" t="s">
        <v>254</v>
      </c>
    </row>
    <row r="6" spans="1:4" ht="12.75">
      <c r="A6" t="s">
        <v>255</v>
      </c>
      <c r="C6" t="s">
        <v>256</v>
      </c>
      <c r="D6">
        <v>16.1</v>
      </c>
    </row>
    <row r="7" spans="3:4" ht="12.75">
      <c r="C7" t="s">
        <v>257</v>
      </c>
      <c r="D7">
        <v>0.2</v>
      </c>
    </row>
    <row r="8" spans="4:5" ht="12.75">
      <c r="D8">
        <f>D6*D7</f>
        <v>3.2200000000000006</v>
      </c>
      <c r="E8" t="s">
        <v>49</v>
      </c>
    </row>
    <row r="10" spans="1:4" ht="12.75">
      <c r="A10" t="s">
        <v>258</v>
      </c>
      <c r="C10" t="s">
        <v>259</v>
      </c>
      <c r="D10">
        <v>11</v>
      </c>
    </row>
    <row r="11" spans="3:4" ht="12.75">
      <c r="C11" t="s">
        <v>257</v>
      </c>
      <c r="D11">
        <v>0.25</v>
      </c>
    </row>
    <row r="12" spans="4:5" ht="12.75">
      <c r="D12">
        <f>D10*D11</f>
        <v>2.75</v>
      </c>
      <c r="E12" t="s">
        <v>49</v>
      </c>
    </row>
    <row r="15" ht="12.75">
      <c r="A15" t="s">
        <v>260</v>
      </c>
    </row>
    <row r="16" spans="3:4" ht="12.75">
      <c r="C16" t="s">
        <v>261</v>
      </c>
      <c r="D16">
        <v>4.9</v>
      </c>
    </row>
    <row r="17" spans="3:4" ht="12.75">
      <c r="C17" t="s">
        <v>257</v>
      </c>
      <c r="D17">
        <v>1.35</v>
      </c>
    </row>
    <row r="18" spans="4:5" ht="12.75">
      <c r="D18">
        <f>D16*D17*0.15</f>
        <v>0.9922500000000001</v>
      </c>
      <c r="E18" t="s">
        <v>49</v>
      </c>
    </row>
    <row r="20" ht="12.75">
      <c r="A20" t="s">
        <v>262</v>
      </c>
    </row>
    <row r="21" spans="1:4" ht="12.75">
      <c r="A21" t="s">
        <v>263</v>
      </c>
      <c r="C21">
        <f>B57+B56</f>
        <v>1474</v>
      </c>
      <c r="D21" t="s">
        <v>42</v>
      </c>
    </row>
    <row r="22" spans="1:4" ht="12.75">
      <c r="A22" t="s">
        <v>264</v>
      </c>
      <c r="C22">
        <f>C21*0.02</f>
        <v>29.48</v>
      </c>
      <c r="D22" t="s">
        <v>49</v>
      </c>
    </row>
    <row r="25" ht="18">
      <c r="A25" s="103" t="s">
        <v>108</v>
      </c>
    </row>
    <row r="28" ht="12.75">
      <c r="A28" t="s">
        <v>265</v>
      </c>
    </row>
    <row r="29" spans="1:3" ht="12.75">
      <c r="A29" t="s">
        <v>266</v>
      </c>
      <c r="B29" s="104">
        <f>490.22*0.2</f>
        <v>98.04400000000001</v>
      </c>
      <c r="C29" t="s">
        <v>49</v>
      </c>
    </row>
    <row r="30" spans="1:3" ht="12.75">
      <c r="A30" t="s">
        <v>267</v>
      </c>
      <c r="B30">
        <f>63.85*0.2</f>
        <v>12.770000000000001</v>
      </c>
      <c r="C30" t="s">
        <v>49</v>
      </c>
    </row>
    <row r="31" spans="1:3" ht="12.75">
      <c r="A31" t="s">
        <v>268</v>
      </c>
      <c r="B31">
        <f>15.83*0.2</f>
        <v>3.1660000000000004</v>
      </c>
      <c r="C31" t="s">
        <v>49</v>
      </c>
    </row>
    <row r="33" spans="1:3" ht="12.75">
      <c r="A33" t="s">
        <v>217</v>
      </c>
      <c r="B33">
        <f>SUM(B29:B32)</f>
        <v>113.98</v>
      </c>
      <c r="C33" t="s">
        <v>49</v>
      </c>
    </row>
    <row r="35" spans="1:4" ht="12.75">
      <c r="A35" t="s">
        <v>269</v>
      </c>
      <c r="B35">
        <f>B33*1.3/0.2</f>
        <v>740.87</v>
      </c>
      <c r="C35" t="s">
        <v>49</v>
      </c>
      <c r="D35" t="s">
        <v>270</v>
      </c>
    </row>
    <row r="38" spans="1:3" ht="12.75">
      <c r="A38" t="s">
        <v>271</v>
      </c>
      <c r="B38">
        <f>0.5*1.7*10.4*1.3</f>
        <v>11.492</v>
      </c>
      <c r="C38" t="s">
        <v>49</v>
      </c>
    </row>
    <row r="39" ht="12.75">
      <c r="A39" t="s">
        <v>267</v>
      </c>
    </row>
    <row r="42" ht="18">
      <c r="A42" s="103" t="s">
        <v>267</v>
      </c>
    </row>
    <row r="44" spans="1:3" ht="12.75">
      <c r="A44" t="s">
        <v>272</v>
      </c>
      <c r="B44">
        <f>63.85*0.05/COS(DEGREES(13.5))</f>
        <v>4.045045499006437</v>
      </c>
      <c r="C44" t="s">
        <v>49</v>
      </c>
    </row>
    <row r="46" spans="1:3" ht="12.75">
      <c r="A46" t="s">
        <v>273</v>
      </c>
      <c r="B46">
        <f>0.2*63.85/COS(DEGREES(13.5))</f>
        <v>16.18018199602575</v>
      </c>
      <c r="C46" t="s">
        <v>49</v>
      </c>
    </row>
    <row r="47" spans="1:3" ht="12.75">
      <c r="A47" t="s">
        <v>274</v>
      </c>
      <c r="B47">
        <f>8.5*63.85/COS(DEGREES(13.5))</f>
        <v>687.6577348310942</v>
      </c>
      <c r="C47" t="s">
        <v>131</v>
      </c>
    </row>
    <row r="48" spans="1:3" ht="12.75">
      <c r="A48" t="s">
        <v>275</v>
      </c>
      <c r="B48">
        <f>(2*6.3+2*9.7)*0.3</f>
        <v>9.6</v>
      </c>
      <c r="C48" t="s">
        <v>42</v>
      </c>
    </row>
    <row r="50" spans="1:3" ht="12.75">
      <c r="A50" t="s">
        <v>276</v>
      </c>
      <c r="B50">
        <f>63.85/COS(DEGREES(13.5))</f>
        <v>80.90090998012873</v>
      </c>
      <c r="C50" t="s">
        <v>42</v>
      </c>
    </row>
    <row r="52" ht="18">
      <c r="A52" s="103" t="s">
        <v>157</v>
      </c>
    </row>
    <row r="54" ht="12.75">
      <c r="A54" s="25" t="s">
        <v>277</v>
      </c>
    </row>
    <row r="56" spans="1:3" ht="12.75">
      <c r="A56" t="s">
        <v>278</v>
      </c>
      <c r="B56">
        <f>592+238</f>
        <v>830</v>
      </c>
      <c r="C56" t="s">
        <v>42</v>
      </c>
    </row>
    <row r="57" spans="1:3" ht="12.75">
      <c r="A57" t="s">
        <v>279</v>
      </c>
      <c r="B57">
        <v>644</v>
      </c>
      <c r="C57" t="s">
        <v>42</v>
      </c>
    </row>
    <row r="59" spans="1:3" ht="12.75">
      <c r="A59" t="s">
        <v>280</v>
      </c>
      <c r="B59">
        <v>0.04</v>
      </c>
      <c r="C59" t="s">
        <v>165</v>
      </c>
    </row>
    <row r="60" spans="1:3" ht="12.75">
      <c r="A60" t="s">
        <v>281</v>
      </c>
      <c r="B60">
        <f>B59*(B57+B56)</f>
        <v>58.96</v>
      </c>
      <c r="C60" t="s">
        <v>49</v>
      </c>
    </row>
    <row r="62" ht="12.75">
      <c r="A62" s="25" t="s">
        <v>282</v>
      </c>
    </row>
    <row r="63" spans="1:3" ht="12.75">
      <c r="A63" t="s">
        <v>283</v>
      </c>
      <c r="B63">
        <v>1754</v>
      </c>
      <c r="C63" t="s">
        <v>42</v>
      </c>
    </row>
    <row r="64" spans="1:3" ht="12.75">
      <c r="A64" t="s">
        <v>284</v>
      </c>
      <c r="B64">
        <v>593</v>
      </c>
      <c r="C64" t="s">
        <v>42</v>
      </c>
    </row>
    <row r="65" spans="1:3" ht="12.75">
      <c r="A65" t="s">
        <v>285</v>
      </c>
      <c r="B65">
        <v>40</v>
      </c>
      <c r="C65" t="s">
        <v>42</v>
      </c>
    </row>
    <row r="66" spans="1:3" ht="12.75">
      <c r="A66" t="s">
        <v>280</v>
      </c>
      <c r="B66">
        <v>0.08</v>
      </c>
      <c r="C66" t="s">
        <v>165</v>
      </c>
    </row>
    <row r="67" spans="1:7" ht="12.75">
      <c r="A67" t="s">
        <v>217</v>
      </c>
      <c r="B67">
        <f>(B64+B65+B63)*B66</f>
        <v>190.96</v>
      </c>
      <c r="C67" t="s">
        <v>49</v>
      </c>
      <c r="G67">
        <f>593*0.08</f>
        <v>47.44</v>
      </c>
    </row>
    <row r="68" ht="12.75">
      <c r="B68" t="s">
        <v>286</v>
      </c>
    </row>
    <row r="69" spans="1:3" ht="12.75">
      <c r="A69" t="s">
        <v>287</v>
      </c>
      <c r="B69">
        <f>B56+B57+B64+B65+B63</f>
        <v>3861</v>
      </c>
      <c r="C69" t="s">
        <v>42</v>
      </c>
    </row>
    <row r="71" spans="1:3" ht="12.75">
      <c r="A71" t="s">
        <v>288</v>
      </c>
      <c r="B71">
        <v>15.83</v>
      </c>
      <c r="C71" t="s">
        <v>42</v>
      </c>
    </row>
    <row r="74" ht="12.75">
      <c r="A74" s="25" t="s">
        <v>258</v>
      </c>
    </row>
    <row r="76" spans="1:3" ht="12.75">
      <c r="A76" t="s">
        <v>289</v>
      </c>
      <c r="B76">
        <f>3.14*3.8/2+8+15</f>
        <v>28.966</v>
      </c>
      <c r="C76" t="s">
        <v>165</v>
      </c>
    </row>
    <row r="77" spans="1:3" ht="12.75">
      <c r="A77" t="s">
        <v>290</v>
      </c>
      <c r="B77">
        <f>18.1+3</f>
        <v>21.1</v>
      </c>
      <c r="C77" t="s">
        <v>165</v>
      </c>
    </row>
    <row r="78" spans="1:3" ht="12.75">
      <c r="A78" t="s">
        <v>267</v>
      </c>
      <c r="B78">
        <f>3.7+3.7+3.5+3.7+3.7+4.7</f>
        <v>23</v>
      </c>
      <c r="C78" t="s">
        <v>165</v>
      </c>
    </row>
    <row r="80" spans="1:3" ht="12.75">
      <c r="A80" t="s">
        <v>217</v>
      </c>
      <c r="B80">
        <f>SUM(B76:B79)</f>
        <v>73.066</v>
      </c>
      <c r="C80" t="s">
        <v>165</v>
      </c>
    </row>
    <row r="82" ht="12.75">
      <c r="A82" t="s">
        <v>291</v>
      </c>
    </row>
    <row r="84" spans="1:2" ht="12.75">
      <c r="A84" t="s">
        <v>292</v>
      </c>
      <c r="B84">
        <v>0.15</v>
      </c>
    </row>
    <row r="86" ht="18">
      <c r="A86" s="103" t="s">
        <v>293</v>
      </c>
    </row>
    <row r="88" spans="1:2" ht="12.75">
      <c r="A88" t="s">
        <v>294</v>
      </c>
      <c r="B88">
        <f>(2.3+2.8)*2</f>
        <v>10.2</v>
      </c>
    </row>
    <row r="90" spans="1:2" ht="12.75">
      <c r="A90" t="s">
        <v>295</v>
      </c>
      <c r="B90">
        <f>1.35*0.3</f>
        <v>0.405</v>
      </c>
    </row>
    <row r="91" spans="1:2" ht="12.75">
      <c r="A91" t="s">
        <v>296</v>
      </c>
      <c r="B91">
        <f>2.4*0.3</f>
        <v>0.72</v>
      </c>
    </row>
    <row r="93" spans="1:3" ht="12.75">
      <c r="A93" t="s">
        <v>297</v>
      </c>
      <c r="B93">
        <f>B80*(2*0.2+0.1)</f>
        <v>36.533</v>
      </c>
      <c r="C93" t="s">
        <v>42</v>
      </c>
    </row>
    <row r="96" ht="18">
      <c r="A96" s="103" t="s">
        <v>298</v>
      </c>
    </row>
    <row r="98" spans="1:3" ht="12.75">
      <c r="A98" t="s">
        <v>299</v>
      </c>
      <c r="B98">
        <v>55</v>
      </c>
      <c r="C98" t="s">
        <v>165</v>
      </c>
    </row>
    <row r="99" spans="1:3" ht="12.75">
      <c r="A99" t="s">
        <v>300</v>
      </c>
      <c r="B99">
        <v>30</v>
      </c>
      <c r="C99" t="s">
        <v>165</v>
      </c>
    </row>
    <row r="100" spans="1:2" ht="12.75">
      <c r="A100" t="s">
        <v>301</v>
      </c>
      <c r="B100">
        <v>0.01</v>
      </c>
    </row>
    <row r="101" spans="1:3" ht="12.75">
      <c r="A101" t="s">
        <v>302</v>
      </c>
      <c r="B101">
        <v>0.7</v>
      </c>
      <c r="C101" t="s">
        <v>165</v>
      </c>
    </row>
    <row r="103" ht="12.75">
      <c r="A103" t="s">
        <v>303</v>
      </c>
    </row>
    <row r="104" spans="1:3" ht="12.75">
      <c r="A104" t="s">
        <v>304</v>
      </c>
      <c r="B104">
        <f>B100*(B98+B99+0.1)*(B98+B99)*B101</f>
        <v>50.634499999999996</v>
      </c>
      <c r="C104" t="s">
        <v>49</v>
      </c>
    </row>
    <row r="107" spans="1:3" ht="12.75">
      <c r="A107" t="s">
        <v>305</v>
      </c>
      <c r="B107">
        <f>(B98+B99)*0.35</f>
        <v>29.749999999999996</v>
      </c>
      <c r="C107" t="s">
        <v>42</v>
      </c>
    </row>
    <row r="109" ht="12.75">
      <c r="A109" t="s">
        <v>306</v>
      </c>
    </row>
    <row r="111" spans="1:3" ht="12.75">
      <c r="A111" t="s">
        <v>307</v>
      </c>
      <c r="B111">
        <v>0.08</v>
      </c>
      <c r="C111" t="s">
        <v>165</v>
      </c>
    </row>
    <row r="113" ht="12.75">
      <c r="A113" t="s">
        <v>308</v>
      </c>
    </row>
    <row r="114" ht="12.75">
      <c r="A114" t="s">
        <v>309</v>
      </c>
    </row>
    <row r="115" spans="1:2" ht="12.75">
      <c r="A115" t="s">
        <v>310</v>
      </c>
      <c r="B115">
        <v>0.35</v>
      </c>
    </row>
    <row r="116" spans="1:2" ht="12.75">
      <c r="A116" t="s">
        <v>311</v>
      </c>
      <c r="B116">
        <v>0.9</v>
      </c>
    </row>
    <row r="117" spans="1:3" ht="12.75">
      <c r="A117" t="s">
        <v>312</v>
      </c>
      <c r="B117">
        <f>0.5*55*B111+2*(B115+B116)*55*B111/2</f>
        <v>7.7</v>
      </c>
      <c r="C117" t="s">
        <v>49</v>
      </c>
    </row>
    <row r="118" ht="12.75">
      <c r="A118" t="s">
        <v>313</v>
      </c>
    </row>
    <row r="119" ht="12.75">
      <c r="A119" t="s">
        <v>314</v>
      </c>
    </row>
    <row r="120" spans="1:2" ht="12.75">
      <c r="A120" t="s">
        <v>315</v>
      </c>
      <c r="B120">
        <f>2*(2*0.55+0.05+0.2)*(55/0.1)+4*55</f>
        <v>1705</v>
      </c>
    </row>
    <row r="121" spans="1:3" ht="12.75">
      <c r="A121" t="s">
        <v>316</v>
      </c>
      <c r="B121">
        <f>B120/4</f>
        <v>426.25</v>
      </c>
      <c r="C121" t="s">
        <v>131</v>
      </c>
    </row>
    <row r="122" spans="1:3" ht="12.75">
      <c r="A122" t="s">
        <v>317</v>
      </c>
      <c r="B122">
        <f>2*(B115+B116)*55/2</f>
        <v>68.75</v>
      </c>
      <c r="C122" t="s">
        <v>42</v>
      </c>
    </row>
    <row r="126" ht="12.75">
      <c r="D126">
        <f>0.08*1754</f>
        <v>140.32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9.7109375" style="0" customWidth="1"/>
    <col min="4" max="4" width="11.28125" style="0" customWidth="1"/>
    <col min="5" max="5" width="12.57421875" style="0" customWidth="1"/>
    <col min="6" max="6" width="12.28125" style="0" customWidth="1"/>
    <col min="7" max="7" width="15.28125" style="0" customWidth="1"/>
    <col min="11" max="11" width="20.00390625" style="0" customWidth="1"/>
  </cols>
  <sheetData>
    <row r="1" spans="1:13" ht="12.75">
      <c r="A1" s="105"/>
      <c r="B1" s="105"/>
      <c r="C1" s="105"/>
      <c r="D1" s="105"/>
      <c r="E1" s="105"/>
      <c r="F1" s="106"/>
      <c r="G1" s="107"/>
      <c r="H1" s="107"/>
      <c r="I1" s="108"/>
      <c r="J1" s="108"/>
      <c r="K1" s="108"/>
      <c r="L1" s="108"/>
      <c r="M1" s="108"/>
    </row>
    <row r="2" spans="1:13" ht="14.25">
      <c r="A2" s="105"/>
      <c r="B2" s="105"/>
      <c r="C2" s="3" t="s">
        <v>0</v>
      </c>
      <c r="D2" s="105"/>
      <c r="E2" s="105"/>
      <c r="F2" s="106"/>
      <c r="G2" s="107"/>
      <c r="H2" s="107"/>
      <c r="I2" s="108"/>
      <c r="J2" s="108"/>
      <c r="K2" s="108"/>
      <c r="L2" s="108"/>
      <c r="M2" s="108"/>
    </row>
    <row r="3" spans="1:13" ht="14.25">
      <c r="A3" s="105"/>
      <c r="B3" s="105"/>
      <c r="C3" s="4" t="s">
        <v>318</v>
      </c>
      <c r="D3" s="105"/>
      <c r="E3" s="105"/>
      <c r="F3" s="106"/>
      <c r="G3" s="107"/>
      <c r="H3" s="107"/>
      <c r="I3" s="108"/>
      <c r="J3" s="108"/>
      <c r="K3" s="108"/>
      <c r="L3" s="108"/>
      <c r="M3" s="108"/>
    </row>
    <row r="4" spans="1:13" ht="14.25">
      <c r="A4" s="105"/>
      <c r="B4" s="105"/>
      <c r="C4" s="4" t="s">
        <v>319</v>
      </c>
      <c r="D4" s="105"/>
      <c r="E4" s="105"/>
      <c r="F4" s="106"/>
      <c r="G4" s="107"/>
      <c r="H4" s="107"/>
      <c r="I4" s="108"/>
      <c r="J4" s="108"/>
      <c r="K4" s="108"/>
      <c r="L4" s="108"/>
      <c r="M4" s="108"/>
    </row>
    <row r="5" spans="1:13" ht="12.75">
      <c r="A5" s="105"/>
      <c r="B5" s="107"/>
      <c r="C5" s="105"/>
      <c r="D5" s="109"/>
      <c r="E5" s="109"/>
      <c r="F5" s="110"/>
      <c r="G5" s="107"/>
      <c r="H5" s="107"/>
      <c r="I5" s="108"/>
      <c r="J5" s="108"/>
      <c r="K5" s="108"/>
      <c r="L5" s="108"/>
      <c r="M5" s="108"/>
    </row>
    <row r="6" spans="1:13" ht="15.75">
      <c r="A6" s="105"/>
      <c r="B6" s="108"/>
      <c r="C6" s="105"/>
      <c r="D6" s="169" t="s">
        <v>320</v>
      </c>
      <c r="E6" s="169"/>
      <c r="F6" s="169"/>
      <c r="G6" s="110"/>
      <c r="H6" s="107"/>
      <c r="I6" s="108"/>
      <c r="J6" s="108"/>
      <c r="K6" s="108"/>
      <c r="L6" s="108"/>
      <c r="M6" s="108"/>
    </row>
    <row r="7" spans="1:13" ht="32.25" customHeight="1">
      <c r="A7" s="105"/>
      <c r="B7" s="170" t="s">
        <v>321</v>
      </c>
      <c r="C7" s="170"/>
      <c r="D7" s="111" t="s">
        <v>322</v>
      </c>
      <c r="E7" s="112" t="s">
        <v>323</v>
      </c>
      <c r="F7" s="112" t="s">
        <v>324</v>
      </c>
      <c r="G7" s="113" t="s">
        <v>325</v>
      </c>
      <c r="H7" s="107"/>
      <c r="I7" s="114"/>
      <c r="J7" s="114"/>
      <c r="K7" s="114"/>
      <c r="L7" s="114"/>
      <c r="M7" s="114"/>
    </row>
    <row r="8" spans="1:13" ht="15">
      <c r="A8" s="105"/>
      <c r="B8" s="115" t="s">
        <v>326</v>
      </c>
      <c r="C8" s="116" t="s">
        <v>327</v>
      </c>
      <c r="D8" s="117">
        <v>3</v>
      </c>
      <c r="E8" s="117">
        <v>4.75</v>
      </c>
      <c r="F8" s="117">
        <v>7.15</v>
      </c>
      <c r="G8" s="118">
        <v>6</v>
      </c>
      <c r="H8" s="107">
        <f>IF(G8=0,"",IF(G8&lt;D8,"ATENÇÃO FORA DO INTERVALO ADMISSÍVEL - OBRIGATÓRIA APRESENTAÇÃO DE JUSTIFICATIVA",IF(G8&gt;F8,"ATENÇÃO FORA DO INTERVALO ADMISSÍVEL - OBRIGATÓRIA APRESENTAÇÃO DE JUSTIFICATIVA","")))</f>
      </c>
      <c r="I8" s="108"/>
      <c r="J8" s="108"/>
      <c r="K8" s="108"/>
      <c r="L8" s="108"/>
      <c r="M8" s="108"/>
    </row>
    <row r="9" spans="1:13" ht="15">
      <c r="A9" s="105"/>
      <c r="B9" s="119" t="s">
        <v>328</v>
      </c>
      <c r="C9" s="24" t="s">
        <v>329</v>
      </c>
      <c r="D9" s="120">
        <v>0</v>
      </c>
      <c r="E9" s="120">
        <v>0.36</v>
      </c>
      <c r="F9" s="120">
        <v>0.81</v>
      </c>
      <c r="G9" s="121">
        <v>0.36</v>
      </c>
      <c r="H9" s="107">
        <f>IF(G9=0,"",IF(G9&lt;D9,"ATENÇÃO FORA DO INTERVALO ADMISSÍVEL - OBRIGATÓRIA APRESENTAÇÃO DE JUSTIFICATIVA",IF(G9&gt;F9,"ATENÇÃO FORA DO INTERVALO ADMISSÍVEL - OBRIGATÓRIA APRESENTAÇÃO DE JUSTIFICATIVA","")))</f>
      </c>
      <c r="I9" s="108"/>
      <c r="J9" s="108"/>
      <c r="K9" s="108"/>
      <c r="L9" s="108"/>
      <c r="M9" s="108"/>
    </row>
    <row r="10" spans="1:13" ht="15">
      <c r="A10" s="105"/>
      <c r="B10" s="119" t="s">
        <v>330</v>
      </c>
      <c r="C10" s="24" t="s">
        <v>331</v>
      </c>
      <c r="D10" s="120">
        <v>0.25</v>
      </c>
      <c r="E10" s="120">
        <v>0.43</v>
      </c>
      <c r="F10" s="120">
        <v>0.57</v>
      </c>
      <c r="G10" s="121">
        <v>0.43</v>
      </c>
      <c r="H10" s="107"/>
      <c r="I10" s="108"/>
      <c r="J10" s="108"/>
      <c r="K10" s="108"/>
      <c r="L10" s="108"/>
      <c r="M10" s="108"/>
    </row>
    <row r="11" spans="1:13" ht="15">
      <c r="A11" s="108"/>
      <c r="B11" s="119" t="s">
        <v>332</v>
      </c>
      <c r="C11" s="24" t="s">
        <v>333</v>
      </c>
      <c r="D11" s="120">
        <v>0</v>
      </c>
      <c r="E11" s="120">
        <v>0.21</v>
      </c>
      <c r="F11" s="120">
        <v>0.42</v>
      </c>
      <c r="G11" s="121">
        <v>0.21</v>
      </c>
      <c r="H11" s="107">
        <f>IF(G11=0,"",IF(G11&lt;D11,"ATENÇÃO FORA DO INTERVALO ADMISSÍVEL - OBRIGATÓRIA APRESENTAÇÃO DE JUSTIFICATIVA",IF(G11&gt;F11,"ATENÇÃO FORA DO INTERVALO ADMISSÍVEL - OBRIGATÓRIA APRESENTAÇÃO DE JUSTIFICATIVA","")))</f>
      </c>
      <c r="I11" s="108"/>
      <c r="J11" s="108"/>
      <c r="K11" s="108"/>
      <c r="L11" s="108"/>
      <c r="M11" s="108"/>
    </row>
    <row r="12" spans="1:13" ht="15">
      <c r="A12" s="105"/>
      <c r="B12" s="119" t="s">
        <v>334</v>
      </c>
      <c r="C12" s="24" t="s">
        <v>335</v>
      </c>
      <c r="D12" s="120">
        <v>0.5</v>
      </c>
      <c r="E12" s="120">
        <v>1</v>
      </c>
      <c r="F12" s="120">
        <v>1.5</v>
      </c>
      <c r="G12" s="122">
        <v>1</v>
      </c>
      <c r="H12" s="107">
        <f>IF(G12=0,"",IF(G12&lt;D12,"ATENÇÃO FORA DO INTERVALO ADMISSÍVEL - OBRIGATÓRIA APRESENTAÇÃO DE JUSTIFICATIVA",IF(G12&gt;F12,"ATENÇÃO FORA DO INTERVALO ADMISSÍVEL - OBRIGATÓRIA APRESENTAÇÃO DE JUSTIFICATIVA","")))</f>
      </c>
      <c r="I12" s="108"/>
      <c r="J12" s="108"/>
      <c r="K12" s="108"/>
      <c r="L12" s="108"/>
      <c r="M12" s="108"/>
    </row>
    <row r="13" spans="1:13" ht="15">
      <c r="A13" s="105"/>
      <c r="B13" s="119" t="s">
        <v>336</v>
      </c>
      <c r="C13" s="24" t="s">
        <v>337</v>
      </c>
      <c r="D13" s="120">
        <v>6.5</v>
      </c>
      <c r="E13" s="120">
        <v>8.65</v>
      </c>
      <c r="F13" s="120">
        <v>10.35</v>
      </c>
      <c r="G13" s="121">
        <v>8.65</v>
      </c>
      <c r="H13" s="107">
        <f>IF(G13=0,"",IF(G13&lt;D13,"ATENÇÃO FORA DO INTERVALO ADMISSÍVEL - OBRIGATÓRIA APRESENTAÇÃO DE JUSTIFICATIVA",IF(G13&gt;F13,"ATENÇÃO FORA DO INTERVALO ADMISSÍVEL - OBRIGATÓRIA APRESENTAÇÃO DE JUSTIFICATIVA","")))</f>
      </c>
      <c r="I13" s="108"/>
      <c r="J13" s="108"/>
      <c r="K13" s="108"/>
      <c r="L13" s="108"/>
      <c r="M13" s="108"/>
    </row>
    <row r="14" spans="1:13" ht="15">
      <c r="A14" s="105"/>
      <c r="B14" s="123" t="s">
        <v>338</v>
      </c>
      <c r="C14" s="124" t="s">
        <v>339</v>
      </c>
      <c r="D14" s="125">
        <v>4.65</v>
      </c>
      <c r="E14" s="125">
        <v>5.4</v>
      </c>
      <c r="F14" s="125">
        <v>6.15</v>
      </c>
      <c r="G14" s="126">
        <f>C34</f>
        <v>5.325</v>
      </c>
      <c r="H14" s="107">
        <f>IF(G14=0,"",IF(G14&lt;D14,"ATENÇÃO FORA DO INTERVALO ADMISSÍVEL - OBRIGATÓRIA APRESENTAÇÃO DE JUSTIFICATIVA",IF(G14&gt;F14,"ATENÇÃO FORA DO INTERVALO ADMISSÍVEL - OBRIGATÓRIA APRESENTAÇÃO DE JUSTIFICATIVA","")))</f>
      </c>
      <c r="I14" s="108"/>
      <c r="J14" s="108"/>
      <c r="K14" s="108"/>
      <c r="L14" s="108"/>
      <c r="M14" s="108"/>
    </row>
    <row r="15" spans="1:13" ht="12.75">
      <c r="A15" s="105"/>
      <c r="B15" s="107"/>
      <c r="C15" s="107"/>
      <c r="D15" s="107"/>
      <c r="E15" s="107"/>
      <c r="F15" s="110"/>
      <c r="G15" s="107"/>
      <c r="H15" s="107"/>
      <c r="I15" s="108"/>
      <c r="J15" s="108"/>
      <c r="K15" s="108"/>
      <c r="L15" s="108"/>
      <c r="M15" s="108"/>
    </row>
    <row r="16" spans="1:13" ht="12.75">
      <c r="A16" s="105"/>
      <c r="B16" s="107"/>
      <c r="C16" s="107"/>
      <c r="D16" s="107"/>
      <c r="E16" s="107"/>
      <c r="F16" s="110"/>
      <c r="G16" s="107"/>
      <c r="H16" s="107"/>
      <c r="I16" s="108"/>
      <c r="J16" s="108"/>
      <c r="K16" s="108"/>
      <c r="L16" s="108"/>
      <c r="M16" s="108"/>
    </row>
    <row r="17" spans="1:13" ht="15.75">
      <c r="A17" s="105"/>
      <c r="B17" s="127" t="s">
        <v>340</v>
      </c>
      <c r="C17" s="128">
        <f>(((((1+(G8+G9+G10+G11)/100))*(1+(G12/100))*(1+(G13/100)))/(1-(G14/100)))-1)*100</f>
        <v>24.022239239503573</v>
      </c>
      <c r="D17" s="129">
        <f>IF(C17&lt;20,"ATENÇÃO FORA DO INTERVALO USUAL - OBRIGATÓRIA APRESENTAÇÃO DE JUSTIFICATIVA",IF(C17&gt;30,"ATENÇÃO FORA DO INTERVALO USUAL - OBRIGATÓRIA APRESENTAÇÃO DE JUSTIFICATIVA",""))</f>
      </c>
      <c r="E17" s="107"/>
      <c r="F17" s="130"/>
      <c r="G17" s="107"/>
      <c r="H17" s="107"/>
      <c r="I17" s="108"/>
      <c r="J17" s="108"/>
      <c r="K17" s="108"/>
      <c r="L17" s="108"/>
      <c r="M17" s="108"/>
    </row>
    <row r="18" spans="1:13" ht="12.75">
      <c r="A18" s="105"/>
      <c r="B18" s="107"/>
      <c r="C18" s="107"/>
      <c r="D18" s="107"/>
      <c r="E18" s="107"/>
      <c r="F18" s="110"/>
      <c r="G18" s="107"/>
      <c r="H18" s="107"/>
      <c r="I18" s="108"/>
      <c r="J18" s="108"/>
      <c r="K18" s="108"/>
      <c r="L18" s="108"/>
      <c r="M18" s="108"/>
    </row>
    <row r="19" spans="1:13" ht="12.75" customHeight="1">
      <c r="A19" s="105"/>
      <c r="B19" s="171" t="s">
        <v>341</v>
      </c>
      <c r="C19" s="171"/>
      <c r="D19" s="171"/>
      <c r="E19" s="171"/>
      <c r="F19" s="171"/>
      <c r="G19" s="171"/>
      <c r="H19" s="107"/>
      <c r="I19" s="108"/>
      <c r="J19" s="108"/>
      <c r="K19" s="108"/>
      <c r="L19" s="108"/>
      <c r="M19" s="108"/>
    </row>
    <row r="20" spans="1:13" ht="12.75">
      <c r="A20" s="105"/>
      <c r="B20" s="107"/>
      <c r="C20" s="107"/>
      <c r="D20" s="107"/>
      <c r="E20" s="107"/>
      <c r="F20" s="110"/>
      <c r="G20" s="107"/>
      <c r="H20" s="107"/>
      <c r="I20" s="108"/>
      <c r="J20" s="108"/>
      <c r="K20" s="108"/>
      <c r="L20" s="108"/>
      <c r="M20" s="108"/>
    </row>
    <row r="21" spans="1:13" ht="12.75">
      <c r="A21" s="105"/>
      <c r="B21" s="107"/>
      <c r="C21" s="107"/>
      <c r="D21" s="107"/>
      <c r="E21" s="107"/>
      <c r="F21" s="110"/>
      <c r="G21" s="107"/>
      <c r="H21" s="107"/>
      <c r="I21" s="108"/>
      <c r="J21" s="108"/>
      <c r="K21" s="108"/>
      <c r="L21" s="108"/>
      <c r="M21" s="108"/>
    </row>
    <row r="22" spans="1:13" ht="12.75">
      <c r="A22" s="105"/>
      <c r="C22" s="107"/>
      <c r="D22" s="107"/>
      <c r="E22" s="107"/>
      <c r="F22" s="110"/>
      <c r="G22" s="107"/>
      <c r="H22" s="107"/>
      <c r="I22" s="108"/>
      <c r="J22" s="108"/>
      <c r="K22" s="108"/>
      <c r="L22" s="108"/>
      <c r="M22" s="108"/>
    </row>
    <row r="23" spans="1:13" ht="12.75">
      <c r="A23" s="105"/>
      <c r="B23" s="107"/>
      <c r="C23" s="107"/>
      <c r="D23" s="107"/>
      <c r="E23" s="107"/>
      <c r="F23" s="110"/>
      <c r="G23" s="107"/>
      <c r="H23" s="107"/>
      <c r="I23" s="108"/>
      <c r="J23" s="108"/>
      <c r="K23" s="108"/>
      <c r="L23" s="108"/>
      <c r="M23" s="108"/>
    </row>
    <row r="24" spans="1:13" ht="12.75">
      <c r="A24" s="105"/>
      <c r="B24" s="107"/>
      <c r="C24" s="107"/>
      <c r="D24" s="107"/>
      <c r="E24" s="107"/>
      <c r="F24" s="110"/>
      <c r="G24" s="107"/>
      <c r="H24" s="107"/>
      <c r="I24" s="108"/>
      <c r="J24" s="108"/>
      <c r="K24" s="108"/>
      <c r="L24" s="108"/>
      <c r="M24" s="108"/>
    </row>
    <row r="25" spans="1:13" ht="12.75">
      <c r="A25" s="105"/>
      <c r="B25" s="107"/>
      <c r="C25" s="107"/>
      <c r="D25" s="107"/>
      <c r="E25" s="107"/>
      <c r="F25" s="110"/>
      <c r="G25" s="107"/>
      <c r="H25" s="107"/>
      <c r="I25" s="108"/>
      <c r="J25" s="108"/>
      <c r="K25" s="131" t="s">
        <v>342</v>
      </c>
      <c r="L25" s="131" t="s">
        <v>343</v>
      </c>
      <c r="M25" s="108"/>
    </row>
    <row r="26" spans="1:13" ht="12.75" customHeight="1">
      <c r="A26" s="105"/>
      <c r="B26" s="107"/>
      <c r="C26" s="107"/>
      <c r="D26" s="107"/>
      <c r="E26" s="107"/>
      <c r="F26" s="110"/>
      <c r="G26" s="107"/>
      <c r="H26" s="107"/>
      <c r="I26" s="108"/>
      <c r="J26" s="108"/>
      <c r="K26" s="131" t="s">
        <v>344</v>
      </c>
      <c r="L26" s="131">
        <v>2.25</v>
      </c>
      <c r="M26" s="172" t="s">
        <v>345</v>
      </c>
    </row>
    <row r="27" spans="1:13" ht="12.75" customHeight="1">
      <c r="A27" s="105"/>
      <c r="B27" s="173" t="s">
        <v>346</v>
      </c>
      <c r="C27" s="173"/>
      <c r="D27" s="173"/>
      <c r="E27" s="173"/>
      <c r="F27" s="173"/>
      <c r="G27" s="173"/>
      <c r="H27" s="107"/>
      <c r="I27" s="108"/>
      <c r="J27" s="108"/>
      <c r="K27" s="131" t="s">
        <v>347</v>
      </c>
      <c r="L27" s="132">
        <v>3.5</v>
      </c>
      <c r="M27" s="172"/>
    </row>
    <row r="28" spans="1:13" ht="27" customHeight="1">
      <c r="A28" s="105"/>
      <c r="B28" s="173"/>
      <c r="C28" s="173"/>
      <c r="D28" s="173"/>
      <c r="E28" s="173"/>
      <c r="F28" s="173"/>
      <c r="G28" s="173"/>
      <c r="H28" s="107"/>
      <c r="I28" s="114"/>
      <c r="J28" s="114"/>
      <c r="K28" s="131" t="s">
        <v>348</v>
      </c>
      <c r="L28" s="132">
        <v>3</v>
      </c>
      <c r="M28" s="108"/>
    </row>
    <row r="29" spans="1:13" ht="12.75">
      <c r="A29" s="105"/>
      <c r="B29" s="105"/>
      <c r="C29" s="133"/>
      <c r="D29" s="134"/>
      <c r="E29" s="134"/>
      <c r="F29" s="107"/>
      <c r="G29" s="107"/>
      <c r="H29" s="107"/>
      <c r="I29" s="108"/>
      <c r="J29" s="108"/>
      <c r="K29" s="108"/>
      <c r="L29" s="108"/>
      <c r="M29" s="108"/>
    </row>
    <row r="30" spans="1:13" ht="15.75">
      <c r="A30" s="105"/>
      <c r="B30" s="135" t="s">
        <v>339</v>
      </c>
      <c r="C30" s="136" t="s">
        <v>349</v>
      </c>
      <c r="D30" s="137"/>
      <c r="E30" s="134"/>
      <c r="F30" s="107"/>
      <c r="G30" s="107"/>
      <c r="H30" s="107"/>
      <c r="I30" s="108"/>
      <c r="J30" s="108"/>
      <c r="K30" s="108"/>
      <c r="L30" s="108"/>
      <c r="M30" s="108"/>
    </row>
    <row r="31" spans="1:13" ht="15.75">
      <c r="A31" s="105"/>
      <c r="B31" s="138" t="s">
        <v>249</v>
      </c>
      <c r="C31" s="139">
        <v>1.65</v>
      </c>
      <c r="D31" s="137"/>
      <c r="E31" s="134"/>
      <c r="F31" s="107"/>
      <c r="G31" s="107"/>
      <c r="H31" s="107"/>
      <c r="I31" s="108"/>
      <c r="J31" s="140" t="s">
        <v>248</v>
      </c>
      <c r="K31" s="140" t="s">
        <v>350</v>
      </c>
      <c r="L31" s="108"/>
      <c r="M31" s="108"/>
    </row>
    <row r="32" spans="1:13" ht="15.75">
      <c r="A32" s="105"/>
      <c r="B32" s="141" t="s">
        <v>247</v>
      </c>
      <c r="C32" s="142">
        <v>3</v>
      </c>
      <c r="D32" s="137"/>
      <c r="E32" s="134"/>
      <c r="F32" s="107"/>
      <c r="G32" s="107"/>
      <c r="H32" s="107"/>
      <c r="I32" s="108"/>
      <c r="J32" s="143">
        <v>0.0225</v>
      </c>
      <c r="K32" s="143">
        <v>0.3</v>
      </c>
      <c r="L32" s="108"/>
      <c r="M32" s="108"/>
    </row>
    <row r="33" spans="1:13" ht="15.75">
      <c r="A33" s="105"/>
      <c r="B33" s="141" t="s">
        <v>248</v>
      </c>
      <c r="C33" s="142">
        <f>J32*K32*100</f>
        <v>0.675</v>
      </c>
      <c r="D33" s="137"/>
      <c r="E33" s="134"/>
      <c r="F33" s="107"/>
      <c r="G33" s="107"/>
      <c r="H33" s="107"/>
      <c r="I33" s="108"/>
      <c r="J33" s="144">
        <f>J32*K32*100</f>
        <v>0.675</v>
      </c>
      <c r="K33" s="108"/>
      <c r="L33" s="108"/>
      <c r="M33" s="108"/>
    </row>
    <row r="34" spans="1:13" ht="15.75">
      <c r="A34" s="105"/>
      <c r="B34" s="145" t="s">
        <v>217</v>
      </c>
      <c r="C34" s="146">
        <f>IF(C33="",0,SUM(C31:C33))</f>
        <v>5.325</v>
      </c>
      <c r="D34" s="137"/>
      <c r="E34" s="134"/>
      <c r="F34" s="107"/>
      <c r="G34" s="107"/>
      <c r="H34" s="107"/>
      <c r="I34" s="108"/>
      <c r="J34" s="108"/>
      <c r="K34" s="108"/>
      <c r="L34" s="108"/>
      <c r="M34" s="108"/>
    </row>
    <row r="35" spans="1:13" ht="12.75">
      <c r="A35" s="105"/>
      <c r="B35" s="105"/>
      <c r="C35" s="133"/>
      <c r="D35" s="134"/>
      <c r="E35" s="134"/>
      <c r="F35" s="107"/>
      <c r="G35" s="107"/>
      <c r="H35" s="107"/>
      <c r="I35" s="108"/>
      <c r="J35" s="108"/>
      <c r="K35" s="108"/>
      <c r="L35" s="108"/>
      <c r="M35" s="108"/>
    </row>
    <row r="36" spans="1:13" ht="12.75">
      <c r="A36" s="105"/>
      <c r="B36" s="107"/>
      <c r="C36" s="107"/>
      <c r="D36" s="107"/>
      <c r="E36" s="107"/>
      <c r="F36" s="110"/>
      <c r="G36" s="107"/>
      <c r="H36" s="107"/>
      <c r="I36" s="108"/>
      <c r="J36" s="108"/>
      <c r="K36" s="108"/>
      <c r="L36" s="108"/>
      <c r="M36" s="108"/>
    </row>
    <row r="37" spans="1:13" ht="12.75">
      <c r="A37" s="105"/>
      <c r="B37" s="174" t="s">
        <v>351</v>
      </c>
      <c r="C37" s="174"/>
      <c r="D37" s="174"/>
      <c r="E37" s="174"/>
      <c r="F37" s="147"/>
      <c r="G37" s="107"/>
      <c r="H37" s="107"/>
      <c r="I37" s="108"/>
      <c r="J37" s="108"/>
      <c r="K37" s="108"/>
      <c r="L37" s="108"/>
      <c r="M37" s="108"/>
    </row>
    <row r="38" spans="1:13" ht="12.75">
      <c r="A38" s="105"/>
      <c r="B38" s="148" t="s">
        <v>352</v>
      </c>
      <c r="C38" s="149"/>
      <c r="D38" s="149"/>
      <c r="E38" s="150"/>
      <c r="F38" s="150"/>
      <c r="G38" s="107"/>
      <c r="H38" s="107"/>
      <c r="I38" s="108"/>
      <c r="J38" s="108"/>
      <c r="K38" s="108"/>
      <c r="L38" s="108"/>
      <c r="M38" s="108"/>
    </row>
    <row r="39" spans="1:13" ht="12.75">
      <c r="A39" s="105"/>
      <c r="B39" s="151"/>
      <c r="C39" s="151"/>
      <c r="D39" s="151"/>
      <c r="E39" s="151"/>
      <c r="F39" s="152"/>
      <c r="G39" s="107"/>
      <c r="H39" s="107"/>
      <c r="I39" s="108"/>
      <c r="J39" s="108"/>
      <c r="K39" s="108"/>
      <c r="L39" s="108"/>
      <c r="M39" s="108"/>
    </row>
    <row r="40" spans="1:13" ht="12.75">
      <c r="A40" s="105"/>
      <c r="B40" s="153"/>
      <c r="C40" s="151"/>
      <c r="D40" s="151"/>
      <c r="E40" s="151"/>
      <c r="F40" s="154"/>
      <c r="G40" s="107"/>
      <c r="H40" s="107"/>
      <c r="I40" s="108"/>
      <c r="J40" s="108"/>
      <c r="K40" s="108"/>
      <c r="L40" s="108"/>
      <c r="M40" s="108"/>
    </row>
    <row r="41" spans="1:13" ht="12.75">
      <c r="A41" s="105"/>
      <c r="B41" s="175" t="s">
        <v>353</v>
      </c>
      <c r="C41" s="175"/>
      <c r="D41" s="175"/>
      <c r="E41" s="175"/>
      <c r="F41" s="148"/>
      <c r="G41" s="107"/>
      <c r="H41" s="107"/>
      <c r="I41" s="108"/>
      <c r="J41" s="108"/>
      <c r="K41" s="108"/>
      <c r="L41" s="108"/>
      <c r="M41" s="108"/>
    </row>
    <row r="42" spans="1:13" ht="12.75">
      <c r="A42" s="105"/>
      <c r="B42" s="155" t="s">
        <v>354</v>
      </c>
      <c r="C42" s="176" t="s">
        <v>355</v>
      </c>
      <c r="D42" s="176"/>
      <c r="E42" s="176"/>
      <c r="F42" s="176"/>
      <c r="G42" s="107"/>
      <c r="H42" s="107"/>
      <c r="I42" s="108"/>
      <c r="J42" s="108"/>
      <c r="K42" s="108"/>
      <c r="L42" s="108"/>
      <c r="M42" s="108"/>
    </row>
    <row r="43" spans="1:13" ht="12.75">
      <c r="A43" s="105"/>
      <c r="B43" s="151" t="s">
        <v>356</v>
      </c>
      <c r="C43" s="176" t="s">
        <v>357</v>
      </c>
      <c r="D43" s="176"/>
      <c r="E43" s="176"/>
      <c r="F43" s="176"/>
      <c r="G43" s="107"/>
      <c r="H43" s="107"/>
      <c r="I43" s="108"/>
      <c r="J43" s="108"/>
      <c r="K43" s="108"/>
      <c r="L43" s="108"/>
      <c r="M43" s="108"/>
    </row>
    <row r="44" spans="1:13" ht="12.75">
      <c r="A44" s="105"/>
      <c r="B44" s="151"/>
      <c r="C44" s="107"/>
      <c r="D44" s="107"/>
      <c r="E44" s="107"/>
      <c r="F44" s="107"/>
      <c r="G44" s="107"/>
      <c r="H44" s="107"/>
      <c r="I44" s="108"/>
      <c r="J44" s="108"/>
      <c r="K44" s="108"/>
      <c r="L44" s="108"/>
      <c r="M44" s="108"/>
    </row>
    <row r="45" spans="1:13" ht="12.75">
      <c r="A45" s="105"/>
      <c r="B45" s="153"/>
      <c r="C45" s="151"/>
      <c r="D45" s="151"/>
      <c r="E45" s="151"/>
      <c r="F45" s="154"/>
      <c r="G45" s="107"/>
      <c r="H45" s="107"/>
      <c r="I45" s="108"/>
      <c r="J45" s="108"/>
      <c r="K45" s="108"/>
      <c r="L45" s="108"/>
      <c r="M45" s="108"/>
    </row>
    <row r="46" spans="1:13" ht="12.75">
      <c r="A46" s="105"/>
      <c r="B46" s="175" t="s">
        <v>353</v>
      </c>
      <c r="C46" s="175"/>
      <c r="D46" s="175"/>
      <c r="E46" s="175"/>
      <c r="F46" s="148"/>
      <c r="G46" s="107"/>
      <c r="H46" s="107"/>
      <c r="I46" s="108"/>
      <c r="J46" s="108"/>
      <c r="K46" s="108"/>
      <c r="L46" s="108"/>
      <c r="M46" s="108"/>
    </row>
    <row r="47" spans="1:13" ht="12.75">
      <c r="A47" s="105"/>
      <c r="B47" s="155" t="s">
        <v>354</v>
      </c>
      <c r="C47" s="176" t="s">
        <v>358</v>
      </c>
      <c r="D47" s="176"/>
      <c r="E47" s="176"/>
      <c r="F47" s="176"/>
      <c r="G47" s="107"/>
      <c r="H47" s="107"/>
      <c r="I47" s="108"/>
      <c r="J47" s="108"/>
      <c r="K47" s="108"/>
      <c r="L47" s="108"/>
      <c r="M47" s="108"/>
    </row>
    <row r="48" spans="1:13" ht="12.75">
      <c r="A48" s="105"/>
      <c r="B48" s="151" t="s">
        <v>356</v>
      </c>
      <c r="C48" s="176" t="s">
        <v>359</v>
      </c>
      <c r="D48" s="176"/>
      <c r="E48" s="176"/>
      <c r="F48" s="176"/>
      <c r="G48" s="107"/>
      <c r="H48" s="107"/>
      <c r="I48" s="108"/>
      <c r="J48" s="108"/>
      <c r="K48" s="108"/>
      <c r="L48" s="108"/>
      <c r="M48" s="108"/>
    </row>
  </sheetData>
  <sheetProtection selectLockedCells="1" selectUnlockedCells="1"/>
  <mergeCells count="12">
    <mergeCell ref="B46:E46"/>
    <mergeCell ref="C47:F47"/>
    <mergeCell ref="C48:F48"/>
    <mergeCell ref="B37:E37"/>
    <mergeCell ref="B41:E41"/>
    <mergeCell ref="C42:F42"/>
    <mergeCell ref="C43:F43"/>
    <mergeCell ref="D6:F6"/>
    <mergeCell ref="B7:C7"/>
    <mergeCell ref="B19:G19"/>
    <mergeCell ref="M26:M27"/>
    <mergeCell ref="B27:G28"/>
  </mergeCells>
  <conditionalFormatting sqref="B37:E37 C42:F43 C47:F48">
    <cfRule type="cellIs" priority="1" dxfId="0" operator="equal" stopIfTrue="1">
      <formula>""</formula>
    </cfRule>
  </conditionalFormatting>
  <conditionalFormatting sqref="C34 G14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  <oleObjects>
    <oleObject progId="Microsoft Equation 3.0" shapeId="1336624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jessicajccm</cp:lastModifiedBy>
  <dcterms:created xsi:type="dcterms:W3CDTF">2014-11-14T13:47:32Z</dcterms:created>
  <dcterms:modified xsi:type="dcterms:W3CDTF">2014-11-14T13:47:32Z</dcterms:modified>
  <cp:category/>
  <cp:version/>
  <cp:contentType/>
  <cp:contentStatus/>
</cp:coreProperties>
</file>